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7\4_SIGI\Documentacion SIGI\Reglamentos Tecnicos 17may2017\"/>
    </mc:Choice>
  </mc:AlternateContent>
  <bookViews>
    <workbookView xWindow="0" yWindow="0" windowWidth="28800" windowHeight="12135" firstSheet="16" activeTab="16"/>
  </bookViews>
  <sheets>
    <sheet name="DATOS PESAS PATRON" sheetId="43" state="hidden" r:id="rId1"/>
    <sheet name="1 g" sheetId="26" state="hidden" r:id="rId2"/>
    <sheet name="2 g" sheetId="27" state="hidden" r:id="rId3"/>
    <sheet name="2+ g" sheetId="28" state="hidden" r:id="rId4"/>
    <sheet name="5 g" sheetId="29" state="hidden" r:id="rId5"/>
    <sheet name="10 g" sheetId="30" state="hidden" r:id="rId6"/>
    <sheet name="20 g" sheetId="31" state="hidden" r:id="rId7"/>
    <sheet name="20+ g" sheetId="32" state="hidden" r:id="rId8"/>
    <sheet name="50 g" sheetId="33" state="hidden" r:id="rId9"/>
    <sheet name="100 g" sheetId="34" state="hidden" r:id="rId10"/>
    <sheet name="200 g" sheetId="35" state="hidden" r:id="rId11"/>
    <sheet name="200+ g" sheetId="36" state="hidden" r:id="rId12"/>
    <sheet name="500 g" sheetId="37" state="hidden" r:id="rId13"/>
    <sheet name="1 kg" sheetId="38" state="hidden" r:id="rId14"/>
    <sheet name="2 kg" sheetId="39" state="hidden" r:id="rId15"/>
    <sheet name="2+ kg" sheetId="40" state="hidden" r:id="rId16"/>
    <sheet name="VERIFICACION DE PESAS" sheetId="41" r:id="rId17"/>
    <sheet name="INFORME" sheetId="25" state="hidden" r:id="rId18"/>
  </sheets>
  <externalReferences>
    <externalReference r:id="rId19"/>
  </externalReferences>
  <definedNames>
    <definedName name="_xlnm.Print_Area" localSheetId="1">'1 g'!$A$1:$J$74</definedName>
    <definedName name="_xlnm.Print_Area" localSheetId="16">'VERIFICACION DE PESAS'!$A$1:$J$20</definedName>
    <definedName name="DELTAMAXI">'[1]PRUEBAS DE CALIBRACION'!$G$18</definedName>
    <definedName name="DIVISIÓNDEESCALA">[1]DATOS!$E$13</definedName>
    <definedName name="LEXCENTRICIDAD">'[1]PRUEBAS DE CALIBRACION'!$H$11</definedName>
    <definedName name="_xlnm.Print_Titles" localSheetId="1">'1 g'!$1:$1</definedName>
    <definedName name="_xlnm.Print_Titles" localSheetId="16">'VERIFICACION DE PESAS'!$1:$1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5" l="1"/>
  <c r="F65" i="25"/>
  <c r="E65" i="25"/>
  <c r="E26" i="25"/>
  <c r="E24" i="25"/>
  <c r="D18" i="25"/>
  <c r="D17" i="25"/>
  <c r="D12" i="25"/>
  <c r="D10" i="25"/>
  <c r="D9" i="25"/>
  <c r="D8" i="25"/>
  <c r="C16" i="40"/>
  <c r="C16" i="39"/>
  <c r="C16" i="38"/>
  <c r="C16" i="37"/>
  <c r="C16" i="36"/>
  <c r="C16" i="35"/>
  <c r="C16" i="34"/>
  <c r="C16" i="33"/>
  <c r="C16" i="32"/>
  <c r="C16" i="31"/>
  <c r="C16" i="30"/>
  <c r="C16" i="29"/>
  <c r="C16" i="28"/>
  <c r="C16" i="27"/>
  <c r="C16" i="26"/>
  <c r="B73" i="26" l="1"/>
  <c r="A73" i="26"/>
  <c r="C67" i="26"/>
  <c r="C65" i="26"/>
  <c r="C64" i="26"/>
  <c r="C61" i="26"/>
  <c r="C60" i="26"/>
  <c r="D54" i="26"/>
  <c r="D50" i="26"/>
  <c r="D49" i="26"/>
  <c r="D48" i="26"/>
  <c r="H41" i="26"/>
  <c r="G41" i="26"/>
  <c r="F41" i="26"/>
  <c r="E41" i="26"/>
  <c r="E42" i="26" s="1"/>
  <c r="D41" i="26"/>
  <c r="C41" i="26"/>
  <c r="H40" i="26"/>
  <c r="G40" i="26"/>
  <c r="F40" i="26"/>
  <c r="E40" i="26"/>
  <c r="D40" i="26"/>
  <c r="C40" i="26"/>
  <c r="B73" i="27"/>
  <c r="A73" i="27"/>
  <c r="C67" i="27"/>
  <c r="C65" i="27"/>
  <c r="C64" i="27"/>
  <c r="C61" i="27"/>
  <c r="C60" i="27"/>
  <c r="D54" i="27"/>
  <c r="D50" i="27"/>
  <c r="D49" i="27"/>
  <c r="D48" i="27"/>
  <c r="H41" i="27"/>
  <c r="G41" i="27"/>
  <c r="F41" i="27"/>
  <c r="E41" i="27"/>
  <c r="D41" i="27"/>
  <c r="C41" i="27"/>
  <c r="H40" i="27"/>
  <c r="G40" i="27"/>
  <c r="F40" i="27"/>
  <c r="E40" i="27"/>
  <c r="D40" i="27"/>
  <c r="C40" i="27"/>
  <c r="B73" i="28"/>
  <c r="A73" i="28"/>
  <c r="C67" i="28"/>
  <c r="C65" i="28"/>
  <c r="C64" i="28"/>
  <c r="C61" i="28"/>
  <c r="C60" i="28"/>
  <c r="D54" i="28"/>
  <c r="D50" i="28"/>
  <c r="D49" i="28"/>
  <c r="D48" i="28"/>
  <c r="H41" i="28"/>
  <c r="G41" i="28"/>
  <c r="F41" i="28"/>
  <c r="E41" i="28"/>
  <c r="D41" i="28"/>
  <c r="C41" i="28"/>
  <c r="H40" i="28"/>
  <c r="G40" i="28"/>
  <c r="G42" i="28" s="1"/>
  <c r="F40" i="28"/>
  <c r="E40" i="28"/>
  <c r="D40" i="28"/>
  <c r="C40" i="28"/>
  <c r="B73" i="29"/>
  <c r="A73" i="29"/>
  <c r="C67" i="29"/>
  <c r="C65" i="29"/>
  <c r="C64" i="29"/>
  <c r="C61" i="29"/>
  <c r="C60" i="29"/>
  <c r="D54" i="29"/>
  <c r="D50" i="29"/>
  <c r="D49" i="29"/>
  <c r="D48" i="29"/>
  <c r="H41" i="29"/>
  <c r="G41" i="29"/>
  <c r="F41" i="29"/>
  <c r="E41" i="29"/>
  <c r="D41" i="29"/>
  <c r="C41" i="29"/>
  <c r="H40" i="29"/>
  <c r="G40" i="29"/>
  <c r="F40" i="29"/>
  <c r="E40" i="29"/>
  <c r="D40" i="29"/>
  <c r="C40" i="29"/>
  <c r="B73" i="30"/>
  <c r="A73" i="30"/>
  <c r="C67" i="30"/>
  <c r="C65" i="30"/>
  <c r="C64" i="30"/>
  <c r="C61" i="30"/>
  <c r="C60" i="30"/>
  <c r="C62" i="30" s="1"/>
  <c r="D54" i="30"/>
  <c r="D50" i="30"/>
  <c r="D49" i="30"/>
  <c r="D48" i="30"/>
  <c r="H41" i="30"/>
  <c r="G41" i="30"/>
  <c r="F41" i="30"/>
  <c r="E41" i="30"/>
  <c r="D41" i="30"/>
  <c r="C41" i="30"/>
  <c r="H40" i="30"/>
  <c r="G40" i="30"/>
  <c r="F40" i="30"/>
  <c r="E40" i="30"/>
  <c r="D40" i="30"/>
  <c r="C40" i="30"/>
  <c r="B73" i="31"/>
  <c r="A73" i="31"/>
  <c r="C67" i="31"/>
  <c r="C65" i="31"/>
  <c r="C64" i="31"/>
  <c r="C61" i="31"/>
  <c r="C60" i="31"/>
  <c r="C62" i="31" s="1"/>
  <c r="D54" i="31"/>
  <c r="D50" i="31"/>
  <c r="D49" i="31"/>
  <c r="D48" i="31"/>
  <c r="H41" i="31"/>
  <c r="G41" i="31"/>
  <c r="F41" i="31"/>
  <c r="E41" i="31"/>
  <c r="D41" i="31"/>
  <c r="C41" i="31"/>
  <c r="H40" i="31"/>
  <c r="G40" i="31"/>
  <c r="F40" i="31"/>
  <c r="E40" i="31"/>
  <c r="D40" i="31"/>
  <c r="C40" i="31"/>
  <c r="B73" i="32"/>
  <c r="A73" i="32"/>
  <c r="C67" i="32"/>
  <c r="C65" i="32"/>
  <c r="C64" i="32"/>
  <c r="C61" i="32"/>
  <c r="C60" i="32"/>
  <c r="D54" i="32"/>
  <c r="D50" i="32"/>
  <c r="D49" i="32"/>
  <c r="D48" i="32"/>
  <c r="H41" i="32"/>
  <c r="G41" i="32"/>
  <c r="F41" i="32"/>
  <c r="E41" i="32"/>
  <c r="D41" i="32"/>
  <c r="C41" i="32"/>
  <c r="H40" i="32"/>
  <c r="G40" i="32"/>
  <c r="F40" i="32"/>
  <c r="E40" i="32"/>
  <c r="D40" i="32"/>
  <c r="C40" i="32"/>
  <c r="B73" i="33"/>
  <c r="A73" i="33"/>
  <c r="C67" i="33"/>
  <c r="C65" i="33"/>
  <c r="C64" i="33"/>
  <c r="C61" i="33"/>
  <c r="C60" i="33"/>
  <c r="D54" i="33"/>
  <c r="D50" i="33"/>
  <c r="D49" i="33"/>
  <c r="D48" i="33"/>
  <c r="H41" i="33"/>
  <c r="G41" i="33"/>
  <c r="F41" i="33"/>
  <c r="E41" i="33"/>
  <c r="D41" i="33"/>
  <c r="C41" i="33"/>
  <c r="H40" i="33"/>
  <c r="G40" i="33"/>
  <c r="F40" i="33"/>
  <c r="E40" i="33"/>
  <c r="D40" i="33"/>
  <c r="C40" i="33"/>
  <c r="B73" i="34"/>
  <c r="A73" i="34"/>
  <c r="C67" i="34"/>
  <c r="C65" i="34"/>
  <c r="C64" i="34"/>
  <c r="C61" i="34"/>
  <c r="C60" i="34"/>
  <c r="C62" i="34" s="1"/>
  <c r="D54" i="34"/>
  <c r="D50" i="34"/>
  <c r="D49" i="34"/>
  <c r="D48" i="34"/>
  <c r="H41" i="34"/>
  <c r="G41" i="34"/>
  <c r="F41" i="34"/>
  <c r="E41" i="34"/>
  <c r="E42" i="34" s="1"/>
  <c r="D41" i="34"/>
  <c r="C41" i="34"/>
  <c r="H40" i="34"/>
  <c r="G40" i="34"/>
  <c r="F40" i="34"/>
  <c r="E40" i="34"/>
  <c r="D40" i="34"/>
  <c r="C40" i="34"/>
  <c r="B73" i="35"/>
  <c r="A73" i="35"/>
  <c r="C67" i="35"/>
  <c r="C65" i="35"/>
  <c r="C64" i="35"/>
  <c r="C61" i="35"/>
  <c r="C60" i="35"/>
  <c r="C62" i="35" s="1"/>
  <c r="D54" i="35"/>
  <c r="D50" i="35"/>
  <c r="D49" i="35"/>
  <c r="D48" i="35"/>
  <c r="H41" i="35"/>
  <c r="G41" i="35"/>
  <c r="F41" i="35"/>
  <c r="E41" i="35"/>
  <c r="D41" i="35"/>
  <c r="C41" i="35"/>
  <c r="H40" i="35"/>
  <c r="G40" i="35"/>
  <c r="F40" i="35"/>
  <c r="E40" i="35"/>
  <c r="D40" i="35"/>
  <c r="C40" i="35"/>
  <c r="B73" i="36"/>
  <c r="A73" i="36"/>
  <c r="C67" i="36"/>
  <c r="C65" i="36"/>
  <c r="C64" i="36"/>
  <c r="C61" i="36"/>
  <c r="C60" i="36"/>
  <c r="D54" i="36"/>
  <c r="D50" i="36"/>
  <c r="D49" i="36"/>
  <c r="D48" i="36"/>
  <c r="H41" i="36"/>
  <c r="G41" i="36"/>
  <c r="F41" i="36"/>
  <c r="E41" i="36"/>
  <c r="D41" i="36"/>
  <c r="C41" i="36"/>
  <c r="H40" i="36"/>
  <c r="G40" i="36"/>
  <c r="F40" i="36"/>
  <c r="E40" i="36"/>
  <c r="D40" i="36"/>
  <c r="C40" i="36"/>
  <c r="B73" i="37"/>
  <c r="A73" i="37"/>
  <c r="C67" i="37"/>
  <c r="C65" i="37"/>
  <c r="C64" i="37"/>
  <c r="C61" i="37"/>
  <c r="C60" i="37"/>
  <c r="D54" i="37"/>
  <c r="D50" i="37"/>
  <c r="D49" i="37"/>
  <c r="D48" i="37"/>
  <c r="H41" i="37"/>
  <c r="G41" i="37"/>
  <c r="F41" i="37"/>
  <c r="E41" i="37"/>
  <c r="D41" i="37"/>
  <c r="C41" i="37"/>
  <c r="H40" i="37"/>
  <c r="G40" i="37"/>
  <c r="F40" i="37"/>
  <c r="E40" i="37"/>
  <c r="D40" i="37"/>
  <c r="C40" i="37"/>
  <c r="B73" i="38"/>
  <c r="A73" i="38"/>
  <c r="C67" i="38"/>
  <c r="C65" i="38"/>
  <c r="C64" i="38"/>
  <c r="C61" i="38"/>
  <c r="C60" i="38"/>
  <c r="D54" i="38"/>
  <c r="D50" i="38"/>
  <c r="D49" i="38"/>
  <c r="D48" i="38"/>
  <c r="H41" i="38"/>
  <c r="G41" i="38"/>
  <c r="F41" i="38"/>
  <c r="E41" i="38"/>
  <c r="D41" i="38"/>
  <c r="C41" i="38"/>
  <c r="H40" i="38"/>
  <c r="G40" i="38"/>
  <c r="F40" i="38"/>
  <c r="E40" i="38"/>
  <c r="D40" i="38"/>
  <c r="C40" i="38"/>
  <c r="B73" i="39"/>
  <c r="A73" i="39"/>
  <c r="C67" i="39"/>
  <c r="C65" i="39"/>
  <c r="C64" i="39"/>
  <c r="C61" i="39"/>
  <c r="C60" i="39"/>
  <c r="C62" i="39" s="1"/>
  <c r="D54" i="39"/>
  <c r="D50" i="39"/>
  <c r="D49" i="39"/>
  <c r="D48" i="39"/>
  <c r="H41" i="39"/>
  <c r="G41" i="39"/>
  <c r="F41" i="39"/>
  <c r="E41" i="39"/>
  <c r="D41" i="39"/>
  <c r="C41" i="39"/>
  <c r="H40" i="39"/>
  <c r="G40" i="39"/>
  <c r="F40" i="39"/>
  <c r="E40" i="39"/>
  <c r="D40" i="39"/>
  <c r="C40" i="39"/>
  <c r="B73" i="40"/>
  <c r="A73" i="40"/>
  <c r="C67" i="40"/>
  <c r="C65" i="40"/>
  <c r="C64" i="40"/>
  <c r="C61" i="40"/>
  <c r="C60" i="40"/>
  <c r="D54" i="40"/>
  <c r="D50" i="40"/>
  <c r="D49" i="40"/>
  <c r="D48" i="40"/>
  <c r="H41" i="40"/>
  <c r="G41" i="40"/>
  <c r="F41" i="40"/>
  <c r="E41" i="40"/>
  <c r="D41" i="40"/>
  <c r="C41" i="40"/>
  <c r="H40" i="40"/>
  <c r="G40" i="40"/>
  <c r="F40" i="40"/>
  <c r="E40" i="40"/>
  <c r="D40" i="40"/>
  <c r="C40" i="40"/>
  <c r="B73" i="41"/>
  <c r="A73" i="41"/>
  <c r="C67" i="41"/>
  <c r="C65" i="41"/>
  <c r="C64" i="41"/>
  <c r="C61" i="41"/>
  <c r="C60" i="41"/>
  <c r="D54" i="41"/>
  <c r="D50" i="41"/>
  <c r="D49" i="41"/>
  <c r="D48" i="41"/>
  <c r="H41" i="41"/>
  <c r="G41" i="41"/>
  <c r="F41" i="41"/>
  <c r="E41" i="41"/>
  <c r="D41" i="41"/>
  <c r="C41" i="41"/>
  <c r="H40" i="41"/>
  <c r="G40" i="41"/>
  <c r="F40" i="41"/>
  <c r="E40" i="41"/>
  <c r="D40" i="41"/>
  <c r="C40" i="41"/>
  <c r="E42" i="31" l="1"/>
  <c r="G42" i="27"/>
  <c r="E42" i="27"/>
  <c r="C62" i="40"/>
  <c r="E42" i="36"/>
  <c r="G42" i="32"/>
  <c r="E42" i="32"/>
  <c r="E42" i="28"/>
  <c r="C62" i="41"/>
  <c r="C62" i="37"/>
  <c r="C62" i="33"/>
  <c r="C62" i="29"/>
  <c r="C62" i="26"/>
  <c r="H48" i="28"/>
  <c r="F54" i="28" s="1"/>
  <c r="F42" i="41"/>
  <c r="E42" i="40"/>
  <c r="F42" i="38"/>
  <c r="E42" i="38"/>
  <c r="E42" i="37"/>
  <c r="H48" i="26"/>
  <c r="F54" i="26" s="1"/>
  <c r="E42" i="41"/>
  <c r="G42" i="41"/>
  <c r="D42" i="41"/>
  <c r="H42" i="41"/>
  <c r="C42" i="41"/>
  <c r="H48" i="41"/>
  <c r="H49" i="41" s="1"/>
  <c r="C63" i="41" s="1"/>
  <c r="C66" i="41" s="1"/>
  <c r="G42" i="40"/>
  <c r="F42" i="40"/>
  <c r="D42" i="40"/>
  <c r="H42" i="40"/>
  <c r="C42" i="40"/>
  <c r="H48" i="40"/>
  <c r="H49" i="40" s="1"/>
  <c r="C63" i="40" s="1"/>
  <c r="C66" i="40" s="1"/>
  <c r="F42" i="39"/>
  <c r="D42" i="39"/>
  <c r="E42" i="39"/>
  <c r="G42" i="39"/>
  <c r="H42" i="39"/>
  <c r="C42" i="39"/>
  <c r="H48" i="39"/>
  <c r="F54" i="39" s="1"/>
  <c r="D42" i="38"/>
  <c r="G42" i="38"/>
  <c r="H42" i="38"/>
  <c r="C42" i="38"/>
  <c r="H48" i="38"/>
  <c r="H49" i="38" s="1"/>
  <c r="C63" i="38" s="1"/>
  <c r="C66" i="38" s="1"/>
  <c r="G42" i="37"/>
  <c r="F42" i="37"/>
  <c r="D42" i="37"/>
  <c r="H42" i="37"/>
  <c r="C42" i="37"/>
  <c r="H48" i="37"/>
  <c r="H49" i="37" s="1"/>
  <c r="C63" i="37" s="1"/>
  <c r="C66" i="37" s="1"/>
  <c r="G42" i="36"/>
  <c r="F42" i="36"/>
  <c r="D42" i="36"/>
  <c r="H42" i="36"/>
  <c r="C42" i="36"/>
  <c r="H48" i="36"/>
  <c r="H49" i="36" s="1"/>
  <c r="C63" i="36" s="1"/>
  <c r="C66" i="36" s="1"/>
  <c r="F42" i="35"/>
  <c r="E42" i="35"/>
  <c r="G42" i="35"/>
  <c r="D42" i="35"/>
  <c r="H42" i="35"/>
  <c r="C42" i="35"/>
  <c r="H48" i="35"/>
  <c r="H49" i="35" s="1"/>
  <c r="C63" i="35" s="1"/>
  <c r="C66" i="35" s="1"/>
  <c r="F42" i="34"/>
  <c r="G42" i="34"/>
  <c r="D42" i="34"/>
  <c r="H42" i="34"/>
  <c r="C42" i="34"/>
  <c r="H48" i="34"/>
  <c r="H49" i="34" s="1"/>
  <c r="C63" i="34" s="1"/>
  <c r="C66" i="34" s="1"/>
  <c r="E42" i="33"/>
  <c r="G42" i="33"/>
  <c r="F42" i="33"/>
  <c r="D42" i="33"/>
  <c r="H42" i="33"/>
  <c r="C42" i="33"/>
  <c r="H48" i="33"/>
  <c r="H49" i="33" s="1"/>
  <c r="C63" i="33" s="1"/>
  <c r="C66" i="33" s="1"/>
  <c r="F42" i="32"/>
  <c r="D42" i="32"/>
  <c r="H42" i="32"/>
  <c r="C42" i="32"/>
  <c r="H48" i="32"/>
  <c r="H49" i="32" s="1"/>
  <c r="C63" i="32" s="1"/>
  <c r="C66" i="32" s="1"/>
  <c r="G42" i="31"/>
  <c r="F42" i="31"/>
  <c r="H42" i="31"/>
  <c r="D42" i="31"/>
  <c r="C42" i="31"/>
  <c r="H48" i="31"/>
  <c r="H49" i="31" s="1"/>
  <c r="C63" i="31" s="1"/>
  <c r="C66" i="31" s="1"/>
  <c r="F42" i="30"/>
  <c r="D42" i="30"/>
  <c r="E42" i="30"/>
  <c r="G42" i="30"/>
  <c r="H42" i="30"/>
  <c r="C42" i="30"/>
  <c r="H48" i="30"/>
  <c r="F54" i="30" s="1"/>
  <c r="F42" i="29"/>
  <c r="D42" i="29"/>
  <c r="E42" i="29"/>
  <c r="G42" i="29"/>
  <c r="H42" i="29"/>
  <c r="C42" i="29"/>
  <c r="H48" i="29"/>
  <c r="H49" i="29" s="1"/>
  <c r="C63" i="29" s="1"/>
  <c r="C66" i="29" s="1"/>
  <c r="F42" i="28"/>
  <c r="D42" i="28"/>
  <c r="H42" i="28"/>
  <c r="C42" i="28"/>
  <c r="F42" i="27"/>
  <c r="H42" i="27"/>
  <c r="D42" i="27"/>
  <c r="C42" i="27"/>
  <c r="H48" i="27"/>
  <c r="F54" i="27" s="1"/>
  <c r="H42" i="26"/>
  <c r="G42" i="26"/>
  <c r="F42" i="26"/>
  <c r="D42" i="26"/>
  <c r="C42" i="26"/>
  <c r="C62" i="38"/>
  <c r="C62" i="36"/>
  <c r="C62" i="32"/>
  <c r="C62" i="28"/>
  <c r="C62" i="27"/>
  <c r="C44" i="32" l="1"/>
  <c r="C59" i="32" s="1"/>
  <c r="H66" i="32" s="1"/>
  <c r="H67" i="32" s="1"/>
  <c r="I73" i="32" s="1"/>
  <c r="C44" i="35"/>
  <c r="C59" i="35" s="1"/>
  <c r="H66" i="35" s="1"/>
  <c r="H67" i="35" s="1"/>
  <c r="I73" i="35" s="1"/>
  <c r="C43" i="27"/>
  <c r="B54" i="27" s="1"/>
  <c r="H54" i="27" s="1"/>
  <c r="H49" i="28"/>
  <c r="C63" i="28" s="1"/>
  <c r="C66" i="28" s="1"/>
  <c r="H49" i="30"/>
  <c r="C63" i="30" s="1"/>
  <c r="C66" i="30" s="1"/>
  <c r="F54" i="31"/>
  <c r="F54" i="33"/>
  <c r="F54" i="35"/>
  <c r="C44" i="41"/>
  <c r="C59" i="41" s="1"/>
  <c r="H66" i="41" s="1"/>
  <c r="H67" i="41" s="1"/>
  <c r="I73" i="41" s="1"/>
  <c r="F54" i="41"/>
  <c r="C43" i="39"/>
  <c r="B54" i="39" s="1"/>
  <c r="H54" i="39" s="1"/>
  <c r="C44" i="39"/>
  <c r="C59" i="39" s="1"/>
  <c r="F54" i="38"/>
  <c r="C44" i="38"/>
  <c r="C59" i="38" s="1"/>
  <c r="H66" i="38" s="1"/>
  <c r="H67" i="38" s="1"/>
  <c r="I73" i="38" s="1"/>
  <c r="F54" i="37"/>
  <c r="H49" i="26"/>
  <c r="C63" i="26" s="1"/>
  <c r="C66" i="26" s="1"/>
  <c r="C43" i="41"/>
  <c r="B54" i="41" s="1"/>
  <c r="C43" i="40"/>
  <c r="B54" i="40" s="1"/>
  <c r="C44" i="40"/>
  <c r="C59" i="40" s="1"/>
  <c r="H66" i="40" s="1"/>
  <c r="H67" i="40" s="1"/>
  <c r="I73" i="40" s="1"/>
  <c r="F54" i="40"/>
  <c r="H49" i="39"/>
  <c r="C63" i="39" s="1"/>
  <c r="C66" i="39" s="1"/>
  <c r="C43" i="38"/>
  <c r="B54" i="38" s="1"/>
  <c r="C43" i="37"/>
  <c r="B54" i="37" s="1"/>
  <c r="C44" i="37"/>
  <c r="C59" i="37" s="1"/>
  <c r="H66" i="37" s="1"/>
  <c r="H67" i="37" s="1"/>
  <c r="I73" i="37" s="1"/>
  <c r="C43" i="36"/>
  <c r="B54" i="36" s="1"/>
  <c r="C44" i="36"/>
  <c r="C59" i="36" s="1"/>
  <c r="H66" i="36" s="1"/>
  <c r="H67" i="36" s="1"/>
  <c r="I73" i="36" s="1"/>
  <c r="F54" i="36"/>
  <c r="C43" i="35"/>
  <c r="B54" i="35" s="1"/>
  <c r="C43" i="34"/>
  <c r="B54" i="34" s="1"/>
  <c r="C44" i="34"/>
  <c r="C59" i="34" s="1"/>
  <c r="H66" i="34" s="1"/>
  <c r="H67" i="34" s="1"/>
  <c r="I73" i="34" s="1"/>
  <c r="F54" i="34"/>
  <c r="C43" i="33"/>
  <c r="B54" i="33" s="1"/>
  <c r="C44" i="33"/>
  <c r="C59" i="33" s="1"/>
  <c r="H66" i="33" s="1"/>
  <c r="H67" i="33" s="1"/>
  <c r="I73" i="33" s="1"/>
  <c r="C43" i="32"/>
  <c r="B54" i="32" s="1"/>
  <c r="F54" i="32"/>
  <c r="C43" i="31"/>
  <c r="B54" i="31" s="1"/>
  <c r="C44" i="31"/>
  <c r="C59" i="31" s="1"/>
  <c r="H66" i="31" s="1"/>
  <c r="H67" i="31" s="1"/>
  <c r="I73" i="31" s="1"/>
  <c r="C43" i="30"/>
  <c r="B54" i="30" s="1"/>
  <c r="H54" i="30" s="1"/>
  <c r="C44" i="30"/>
  <c r="C59" i="30" s="1"/>
  <c r="C44" i="29"/>
  <c r="C59" i="29" s="1"/>
  <c r="H66" i="29" s="1"/>
  <c r="H67" i="29" s="1"/>
  <c r="I73" i="29" s="1"/>
  <c r="C43" i="29"/>
  <c r="B54" i="29" s="1"/>
  <c r="F54" i="29"/>
  <c r="C43" i="28"/>
  <c r="B54" i="28" s="1"/>
  <c r="H54" i="28" s="1"/>
  <c r="C44" i="28"/>
  <c r="C59" i="28" s="1"/>
  <c r="C44" i="27"/>
  <c r="C59" i="27" s="1"/>
  <c r="H49" i="27"/>
  <c r="C63" i="27" s="1"/>
  <c r="C66" i="27" s="1"/>
  <c r="C43" i="26"/>
  <c r="B54" i="26" s="1"/>
  <c r="H54" i="26" s="1"/>
  <c r="C44" i="26"/>
  <c r="C59" i="26" s="1"/>
  <c r="H54" i="38" l="1"/>
  <c r="H54" i="37"/>
  <c r="C73" i="37" s="1"/>
  <c r="D73" i="37" s="1"/>
  <c r="E73" i="37" s="1"/>
  <c r="G73" i="37" s="1"/>
  <c r="H54" i="35"/>
  <c r="C73" i="35" s="1"/>
  <c r="D73" i="35" s="1"/>
  <c r="E73" i="35" s="1"/>
  <c r="G73" i="35" s="1"/>
  <c r="H54" i="34"/>
  <c r="C73" i="34" s="1"/>
  <c r="D73" i="34" s="1"/>
  <c r="E73" i="34" s="1"/>
  <c r="G73" i="34" s="1"/>
  <c r="H54" i="33"/>
  <c r="H54" i="31"/>
  <c r="H66" i="30"/>
  <c r="H67" i="30" s="1"/>
  <c r="I73" i="30" s="1"/>
  <c r="H66" i="26"/>
  <c r="H67" i="26" s="1"/>
  <c r="I73" i="26" s="1"/>
  <c r="H66" i="28"/>
  <c r="H67" i="28" s="1"/>
  <c r="I73" i="28" s="1"/>
  <c r="C73" i="28"/>
  <c r="D73" i="28" s="1"/>
  <c r="E73" i="28" s="1"/>
  <c r="C73" i="30"/>
  <c r="D73" i="30" s="1"/>
  <c r="E73" i="30" s="1"/>
  <c r="G73" i="30" s="1"/>
  <c r="H54" i="41"/>
  <c r="H66" i="39"/>
  <c r="H67" i="39" s="1"/>
  <c r="I73" i="39" s="1"/>
  <c r="C73" i="39"/>
  <c r="D73" i="39" s="1"/>
  <c r="E73" i="39" s="1"/>
  <c r="C73" i="38"/>
  <c r="D73" i="38" s="1"/>
  <c r="C73" i="27"/>
  <c r="D73" i="27" s="1"/>
  <c r="E73" i="27" s="1"/>
  <c r="C73" i="26"/>
  <c r="D73" i="26" s="1"/>
  <c r="H54" i="40"/>
  <c r="H54" i="36"/>
  <c r="H54" i="32"/>
  <c r="H54" i="29"/>
  <c r="H66" i="27"/>
  <c r="H67" i="27" s="1"/>
  <c r="I73" i="27" s="1"/>
  <c r="C73" i="33" l="1"/>
  <c r="D73" i="33" s="1"/>
  <c r="E73" i="33" s="1"/>
  <c r="G73" i="33" s="1"/>
  <c r="C73" i="31"/>
  <c r="D73" i="31" s="1"/>
  <c r="E73" i="31" s="1"/>
  <c r="G73" i="27"/>
  <c r="G73" i="28"/>
  <c r="C73" i="29"/>
  <c r="D73" i="29" s="1"/>
  <c r="C73" i="32"/>
  <c r="D73" i="32" s="1"/>
  <c r="E73" i="32" s="1"/>
  <c r="C73" i="36"/>
  <c r="D73" i="36" s="1"/>
  <c r="C73" i="41"/>
  <c r="D73" i="41" s="1"/>
  <c r="C73" i="40"/>
  <c r="D73" i="40" s="1"/>
  <c r="G73" i="39"/>
  <c r="E73" i="38"/>
  <c r="G73" i="38" s="1"/>
  <c r="E73" i="26"/>
  <c r="G73" i="26" s="1"/>
  <c r="G73" i="31" l="1"/>
  <c r="E73" i="29"/>
  <c r="G73" i="29" s="1"/>
  <c r="G73" i="32"/>
  <c r="E73" i="36"/>
  <c r="G73" i="36" s="1"/>
  <c r="E73" i="41"/>
  <c r="G73" i="41" s="1"/>
  <c r="E73" i="40"/>
  <c r="G73" i="40" s="1"/>
</calcChain>
</file>

<file path=xl/sharedStrings.xml><?xml version="1.0" encoding="utf-8"?>
<sst xmlns="http://schemas.openxmlformats.org/spreadsheetml/2006/main" count="2632" uniqueCount="291">
  <si>
    <t>A</t>
  </si>
  <si>
    <t>g</t>
  </si>
  <si>
    <t>B</t>
  </si>
  <si>
    <t>mg</t>
  </si>
  <si>
    <t>No</t>
  </si>
  <si>
    <t xml:space="preserve">      </t>
  </si>
  <si>
    <t>FORMA</t>
  </si>
  <si>
    <t>MATERIAL</t>
  </si>
  <si>
    <t>Cilindro - botón</t>
  </si>
  <si>
    <t>Acero inoxidable</t>
  </si>
  <si>
    <t>MARCACIÓN</t>
  </si>
  <si>
    <t>MASA CONVENCIONAL</t>
  </si>
  <si>
    <t>La incertidumbre reportada se ha determinado multiplicando la incertidumbre estándar combinada por el factor de cobertura K = 2, con el cual se logra un nivel de confianza de aproximadamente 95%. La incertidumbre fue evaluada según anexo C numeral C.6 OIML R 111-1:2004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</si>
  <si>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</si>
  <si>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</si>
  <si>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</si>
  <si>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</si>
  <si>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</si>
  <si>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</si>
  <si>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Condiciones ambientales promedio</t>
  </si>
  <si>
    <t>Humedad (%)</t>
  </si>
  <si>
    <t xml:space="preserve"> Error  (mg)</t>
  </si>
  <si>
    <t>Valor Nominal  (g)</t>
  </si>
  <si>
    <t>Presión (hPa)</t>
  </si>
  <si>
    <t>Fabricante</t>
  </si>
  <si>
    <t>Identificación</t>
  </si>
  <si>
    <t>Clase de exactitud</t>
  </si>
  <si>
    <t>Número de pesas suministradas para la calibración:</t>
  </si>
  <si>
    <t>Limpieza de las pesas</t>
  </si>
  <si>
    <t>DENSIDAD</t>
  </si>
  <si>
    <t>VALOR</t>
  </si>
  <si>
    <t xml:space="preserve">INCERTIDUMBRE </t>
  </si>
  <si>
    <t>Descripción del patrón</t>
  </si>
  <si>
    <t>Tipo</t>
  </si>
  <si>
    <t>Certificado</t>
  </si>
  <si>
    <t>Patrón</t>
  </si>
  <si>
    <t>Fecha de Calibración</t>
  </si>
  <si>
    <t>FIRMAS AUTORIZADAS:</t>
  </si>
  <si>
    <t>____________________________________</t>
  </si>
  <si>
    <t>Responsable de la Dirección Técnica</t>
  </si>
  <si>
    <t xml:space="preserve">Procedimiento interno  RT03-P06 </t>
  </si>
  <si>
    <t>El valor de la masa convencional de la pesa se determina por el método de comparación con las pesas patrón, usando el esquema de sustitución ABBA. (Doble sustitución).</t>
  </si>
  <si>
    <t>Ciudad</t>
  </si>
  <si>
    <t>Solicitante</t>
  </si>
  <si>
    <t>Dirección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</si>
  <si>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</si>
  <si>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</si>
  <si>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</si>
  <si>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</si>
  <si>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</si>
  <si>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</si>
  <si>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</si>
  <si>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Nt</t>
    </r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</si>
  <si>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Nr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</si>
  <si>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t</t>
    </r>
  </si>
  <si>
    <r>
      <t xml:space="preserve">Error </t>
    </r>
    <r>
      <rPr>
        <b/>
        <i/>
        <sz val="11"/>
        <color theme="1"/>
        <rFont val="Times New Roman"/>
        <family val="1"/>
      </rPr>
      <t>e</t>
    </r>
    <r>
      <rPr>
        <b/>
        <i/>
        <vertAlign val="subscript"/>
        <sz val="11"/>
        <color theme="1"/>
        <rFont val="Times New Roman"/>
        <family val="1"/>
      </rPr>
      <t>r</t>
    </r>
  </si>
  <si>
    <r>
      <t xml:space="preserve">Incertidumbre de calibración </t>
    </r>
    <r>
      <rPr>
        <b/>
        <i/>
        <sz val="11"/>
        <color theme="1"/>
        <rFont val="Times New Roman"/>
        <family val="1"/>
      </rPr>
      <t>U(m</t>
    </r>
    <r>
      <rPr>
        <b/>
        <i/>
        <vertAlign val="subscript"/>
        <sz val="11"/>
        <color theme="1"/>
        <rFont val="Times New Roman"/>
        <family val="1"/>
      </rPr>
      <t>cr</t>
    </r>
    <r>
      <rPr>
        <b/>
        <i/>
        <sz val="11"/>
        <color theme="1"/>
        <rFont val="Times New Roman"/>
        <family val="1"/>
      </rPr>
      <t>)</t>
    </r>
    <r>
      <rPr>
        <b/>
        <sz val="11"/>
        <color theme="1"/>
        <rFont val="Times New Roman"/>
        <family val="1"/>
      </rPr>
      <t xml:space="preserve"> (k=2)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</si>
  <si>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r</t>
    </r>
  </si>
  <si>
    <t>DATOS DE LA BALANZA</t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</si>
  <si>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3.2"/>
        <color theme="1"/>
        <rFont val="Times New Roman"/>
        <family val="1"/>
      </rPr>
      <t>r</t>
    </r>
    <r>
      <rPr>
        <b/>
        <i/>
        <sz val="13.2"/>
        <color theme="1"/>
        <rFont val="Times New Roman"/>
        <family val="1"/>
      </rPr>
      <t>)</t>
    </r>
  </si>
  <si>
    <r>
      <t>Densidad Aire en calibración</t>
    </r>
    <r>
      <rPr>
        <i/>
        <sz val="11"/>
        <color theme="1"/>
        <rFont val="Times New Roman"/>
        <family val="1"/>
      </rPr>
      <t xml:space="preserve"> ρ</t>
    </r>
    <r>
      <rPr>
        <i/>
        <vertAlign val="subscript"/>
        <sz val="11"/>
        <color theme="1"/>
        <rFont val="Times New Roman"/>
        <family val="1"/>
      </rPr>
      <t>a1</t>
    </r>
  </si>
  <si>
    <r>
      <t xml:space="preserve">Resolución </t>
    </r>
    <r>
      <rPr>
        <i/>
        <sz val="10"/>
        <color theme="1"/>
        <rFont val="Times New Roman"/>
        <family val="1"/>
      </rPr>
      <t>d</t>
    </r>
  </si>
  <si>
    <t>DATOS TERMOHIGRÓMETRO - BARÓMETRO</t>
  </si>
  <si>
    <t>Incertidumbres U(k=2)</t>
  </si>
  <si>
    <t>Temperatura (°C)</t>
  </si>
  <si>
    <t>Humedad relativa (%rH)</t>
  </si>
  <si>
    <t>CICLOS DE PESAJE</t>
  </si>
  <si>
    <t>Hora inicial</t>
  </si>
  <si>
    <t>Número de Ciclos n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</si>
  <si>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</si>
  <si>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</si>
  <si>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</si>
  <si>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</si>
  <si>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</si>
  <si>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</si>
  <si>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</si>
  <si>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r>
      <t xml:space="preserve">Desviación
</t>
    </r>
    <r>
      <rPr>
        <b/>
        <i/>
        <sz val="11"/>
        <color theme="0"/>
        <rFont val="Times New Roman"/>
        <family val="1"/>
      </rPr>
      <t>s</t>
    </r>
  </si>
  <si>
    <t>CÁLCULO DENSIDAD DEL AIRE</t>
  </si>
  <si>
    <t>Magnitud</t>
  </si>
  <si>
    <t>Promedios</t>
  </si>
  <si>
    <r>
      <t xml:space="preserve">Densidad aire </t>
    </r>
    <r>
      <rPr>
        <b/>
        <i/>
        <sz val="11"/>
        <color theme="0"/>
        <rFont val="Times New Roman"/>
        <family val="1"/>
      </rPr>
      <t>ρ</t>
    </r>
    <r>
      <rPr>
        <b/>
        <i/>
        <vertAlign val="subscript"/>
        <sz val="11"/>
        <color theme="0"/>
        <rFont val="Times New Roman"/>
        <family val="1"/>
      </rPr>
      <t>a</t>
    </r>
  </si>
  <si>
    <r>
      <t>kg.m</t>
    </r>
    <r>
      <rPr>
        <b/>
        <vertAlign val="superscript"/>
        <sz val="11"/>
        <color theme="1"/>
        <rFont val="Times New Roman"/>
        <family val="1"/>
      </rPr>
      <t>-3</t>
    </r>
  </si>
  <si>
    <r>
      <t xml:space="preserve">Incertidumbre densidad aire </t>
    </r>
    <r>
      <rPr>
        <b/>
        <i/>
        <sz val="11"/>
        <color theme="0"/>
        <rFont val="Times New Roman"/>
        <family val="1"/>
      </rPr>
      <t>u(ρ</t>
    </r>
    <r>
      <rPr>
        <b/>
        <i/>
        <vertAlign val="subscript"/>
        <sz val="11"/>
        <color theme="0"/>
        <rFont val="Times New Roman"/>
        <family val="1"/>
      </rPr>
      <t>a</t>
    </r>
    <r>
      <rPr>
        <b/>
        <i/>
        <sz val="11"/>
        <color theme="0"/>
        <rFont val="Times New Roman"/>
        <family val="1"/>
      </rPr>
      <t>)</t>
    </r>
  </si>
  <si>
    <r>
      <t>Densidad aire convencional</t>
    </r>
    <r>
      <rPr>
        <b/>
        <sz val="14"/>
        <color theme="0"/>
        <rFont val="Times New Roman"/>
        <family val="1"/>
      </rPr>
      <t xml:space="preserve"> </t>
    </r>
    <r>
      <rPr>
        <i/>
        <sz val="14"/>
        <color theme="0"/>
        <rFont val="Times New Roman"/>
        <family val="1"/>
      </rPr>
      <t>ρ</t>
    </r>
    <r>
      <rPr>
        <i/>
        <vertAlign val="subscript"/>
        <sz val="14"/>
        <color theme="0"/>
        <rFont val="Times New Roman"/>
        <family val="1"/>
      </rPr>
      <t>0</t>
    </r>
  </si>
  <si>
    <t>DIFERENCIA PROMEDIO DE LA MASA CONVENCIONAL</t>
  </si>
  <si>
    <t>Promedio Indicación</t>
  </si>
  <si>
    <r>
      <t xml:space="preserve">Masa convencional de referencia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cr</t>
    </r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</si>
  <si>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</si>
  <si>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</si>
  <si>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</si>
  <si>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</si>
  <si>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</si>
  <si>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</si>
  <si>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Calibración pesa ref</t>
  </si>
  <si>
    <t>U/k</t>
  </si>
  <si>
    <t>Inestabilidad pesa ref</t>
  </si>
  <si>
    <t>Pesa de referencia</t>
  </si>
  <si>
    <t>Densidad aire</t>
  </si>
  <si>
    <t>Densidad pesa prueba</t>
  </si>
  <si>
    <t>Densidad pesa ref</t>
  </si>
  <si>
    <t>Empuje aire</t>
  </si>
  <si>
    <t>Incertidumbre estándar combinada</t>
  </si>
  <si>
    <t>Resolución balanza</t>
  </si>
  <si>
    <t>Incertidumbre 
expandida</t>
  </si>
  <si>
    <t>RESULTADOS</t>
  </si>
  <si>
    <r>
      <t xml:space="preserve">Masa convencional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ct</t>
    </r>
  </si>
  <si>
    <r>
      <t xml:space="preserve">Incertidumbre masa convencional </t>
    </r>
    <r>
      <rPr>
        <i/>
        <sz val="11"/>
        <color theme="1"/>
        <rFont val="Times New Roman"/>
        <family val="1"/>
      </rPr>
      <t>U(m</t>
    </r>
    <r>
      <rPr>
        <i/>
        <vertAlign val="subscript"/>
        <sz val="11"/>
        <color theme="1"/>
        <rFont val="Times New Roman"/>
        <family val="1"/>
      </rPr>
      <t>ct</t>
    </r>
    <r>
      <rPr>
        <i/>
        <sz val="11"/>
        <color theme="1"/>
        <rFont val="Times New Roman"/>
        <family val="1"/>
      </rPr>
      <t>)(k=2)</t>
    </r>
  </si>
  <si>
    <t>No. de pesas a calibrar</t>
  </si>
  <si>
    <t>Fecha de Recepción</t>
  </si>
  <si>
    <t>Lugar de Calibración</t>
  </si>
  <si>
    <t>Bogotá. D.C.</t>
  </si>
  <si>
    <t>Laboratorio SIC</t>
  </si>
  <si>
    <r>
      <t>kg/m</t>
    </r>
    <r>
      <rPr>
        <vertAlign val="superscript"/>
        <sz val="11"/>
        <color theme="1"/>
        <rFont val="Times New Roman"/>
        <family val="1"/>
      </rPr>
      <t>3</t>
    </r>
  </si>
  <si>
    <t>Lufft</t>
  </si>
  <si>
    <t>02607140802024</t>
  </si>
  <si>
    <t>1996 / 1999 / 2148</t>
  </si>
  <si>
    <t>Sartorius</t>
  </si>
  <si>
    <r>
      <t>Incertidumbre de densidad U</t>
    </r>
    <r>
      <rPr>
        <b/>
        <i/>
        <sz val="11"/>
        <color theme="1"/>
        <rFont val="Times New Roman"/>
        <family val="1"/>
      </rPr>
      <t>(ρ</t>
    </r>
    <r>
      <rPr>
        <b/>
        <i/>
        <vertAlign val="subscript"/>
        <sz val="11"/>
        <color theme="1"/>
        <rFont val="Times New Roman"/>
        <family val="1"/>
      </rPr>
      <t>t</t>
    </r>
    <r>
      <rPr>
        <b/>
        <i/>
        <sz val="13.2"/>
        <color theme="1"/>
        <rFont val="Times New Roman"/>
        <family val="1"/>
      </rPr>
      <t>)</t>
    </r>
  </si>
  <si>
    <t>mnr   g</t>
  </si>
  <si>
    <r>
      <t>Error e</t>
    </r>
    <r>
      <rPr>
        <vertAlign val="subscript"/>
        <sz val="11"/>
        <color theme="1"/>
        <rFont val="Times New Roman"/>
        <family val="1"/>
      </rPr>
      <t>er    Masa convencional</t>
    </r>
  </si>
  <si>
    <r>
      <t>m</t>
    </r>
    <r>
      <rPr>
        <vertAlign val="subscript"/>
        <sz val="11"/>
        <color theme="1"/>
        <rFont val="Times New Roman"/>
        <family val="1"/>
      </rPr>
      <t>ct</t>
    </r>
  </si>
  <si>
    <r>
      <t>e</t>
    </r>
    <r>
      <rPr>
        <vertAlign val="subscript"/>
        <sz val="14"/>
        <color theme="1"/>
        <rFont val="Times New Roman"/>
        <family val="1"/>
      </rPr>
      <t>ct</t>
    </r>
  </si>
  <si>
    <t>mct</t>
  </si>
  <si>
    <t>+</t>
  </si>
  <si>
    <t>F1</t>
  </si>
  <si>
    <t>Mettler Toledo</t>
  </si>
  <si>
    <t>B444195367</t>
  </si>
  <si>
    <t>E2 Sartorius</t>
  </si>
  <si>
    <t>F1 Mettler toledo</t>
  </si>
  <si>
    <t>F1 Rice lake</t>
  </si>
  <si>
    <t>AJS</t>
  </si>
  <si>
    <t>AKI</t>
  </si>
  <si>
    <t>AKJ</t>
  </si>
  <si>
    <t>AGU</t>
  </si>
  <si>
    <t>AH3</t>
  </si>
  <si>
    <t>AJ1</t>
  </si>
  <si>
    <t>AKA</t>
  </si>
  <si>
    <t>AHL</t>
  </si>
  <si>
    <t>AJG</t>
  </si>
  <si>
    <t>ALZ</t>
  </si>
  <si>
    <t>ALW</t>
  </si>
  <si>
    <t>ACT</t>
  </si>
  <si>
    <t>ABN</t>
  </si>
  <si>
    <t>AC1</t>
  </si>
  <si>
    <t>ABY</t>
  </si>
  <si>
    <t>AB9</t>
  </si>
  <si>
    <t>AAM</t>
  </si>
  <si>
    <t>Error (mg)</t>
  </si>
  <si>
    <t>Incertidumbre de calibración (mg)</t>
  </si>
  <si>
    <r>
      <t>Densidad kg/m</t>
    </r>
    <r>
      <rPr>
        <vertAlign val="superscript"/>
        <sz val="11"/>
        <color theme="1"/>
        <rFont val="Calibri"/>
        <family val="2"/>
        <scheme val="minor"/>
      </rPr>
      <t>3</t>
    </r>
  </si>
  <si>
    <t>Pesa usada</t>
  </si>
  <si>
    <t>1 pr E2</t>
  </si>
  <si>
    <t>2 pr E2</t>
  </si>
  <si>
    <t>2.prE2</t>
  </si>
  <si>
    <t>5 prE2</t>
  </si>
  <si>
    <t>10prE2</t>
  </si>
  <si>
    <t>20prE2</t>
  </si>
  <si>
    <t>20.prE2</t>
  </si>
  <si>
    <t>50prE2</t>
  </si>
  <si>
    <t>100prE2</t>
  </si>
  <si>
    <t>200prE2</t>
  </si>
  <si>
    <t>200.prE2</t>
  </si>
  <si>
    <t>500prE2</t>
  </si>
  <si>
    <t>1000prE2</t>
  </si>
  <si>
    <t>2000prE2</t>
  </si>
  <si>
    <t>2000.prE2</t>
  </si>
  <si>
    <t>5000prE2</t>
  </si>
  <si>
    <t>10000prE2</t>
  </si>
  <si>
    <t>Mettler T</t>
  </si>
  <si>
    <t>Rice Lake</t>
  </si>
  <si>
    <t>1cajaF1</t>
  </si>
  <si>
    <t>2cajaF1</t>
  </si>
  <si>
    <t>5cajaF1</t>
  </si>
  <si>
    <t>10cajaF1</t>
  </si>
  <si>
    <t>20cajaF1</t>
  </si>
  <si>
    <t>50cajaF1</t>
  </si>
  <si>
    <t>100cajaF1</t>
  </si>
  <si>
    <t>200cajaF1</t>
  </si>
  <si>
    <t>500cajaF1</t>
  </si>
  <si>
    <t>1000cajaF1</t>
  </si>
  <si>
    <t>2000cajaF1</t>
  </si>
  <si>
    <t>5000cajaF1</t>
  </si>
  <si>
    <t>10000cajaF1</t>
  </si>
  <si>
    <t>2.cajaF1</t>
  </si>
  <si>
    <t>20.cajaF1</t>
  </si>
  <si>
    <t>200.cajaF1</t>
  </si>
  <si>
    <t>2000.cajaF1</t>
  </si>
  <si>
    <t>1maderaF1</t>
  </si>
  <si>
    <t>2maderaF1</t>
  </si>
  <si>
    <t>5maderaF1</t>
  </si>
  <si>
    <t>10maderaF1</t>
  </si>
  <si>
    <t>20maderaF1</t>
  </si>
  <si>
    <t>50maderaF1</t>
  </si>
  <si>
    <t>100maderaF1</t>
  </si>
  <si>
    <t>200maderaF1</t>
  </si>
  <si>
    <t>500maderaF1</t>
  </si>
  <si>
    <t>1000maderaF1</t>
  </si>
  <si>
    <t>2000maderaF1</t>
  </si>
  <si>
    <t>5000maderaF1</t>
  </si>
  <si>
    <t>2000.maderaF1</t>
  </si>
  <si>
    <t>200.maderaF1</t>
  </si>
  <si>
    <t>20.maderaF1</t>
  </si>
  <si>
    <t>2.maderaF1</t>
  </si>
  <si>
    <t>20000cajaF1</t>
  </si>
  <si>
    <t>2*</t>
  </si>
  <si>
    <t>200*</t>
  </si>
  <si>
    <t>20*</t>
  </si>
  <si>
    <t>Valor nominal (g)</t>
  </si>
  <si>
    <t>No porta</t>
  </si>
  <si>
    <t>punto</t>
  </si>
  <si>
    <t>Cap-376-16</t>
  </si>
  <si>
    <r>
      <t>Incertidumbre de densidad 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</si>
  <si>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Densidad del aire kg/m</t>
    </r>
    <r>
      <rPr>
        <vertAlign val="superscript"/>
        <sz val="11"/>
        <color theme="1"/>
        <rFont val="Calibri"/>
        <family val="2"/>
        <scheme val="minor"/>
      </rPr>
      <t>3</t>
    </r>
  </si>
  <si>
    <t>No identifica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</si>
  <si>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</si>
  <si>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t>1.   INFORMACIÓN DEL EQUIPO</t>
  </si>
  <si>
    <t>Descripción de las pesas</t>
  </si>
  <si>
    <t>4.   EXAMEN FÍSICO DE LAS  CONDICIONES DE LAS PESAS</t>
  </si>
  <si>
    <t xml:space="preserve">En el examen físico se pudo apreciar que las pesas están en buenas condiciones  </t>
  </si>
  <si>
    <t>Este juego de pesas fué limpiado y secado de acuerdo al numeral B.4 de la NTC 1848:2007.</t>
  </si>
  <si>
    <t xml:space="preserve">7.   DESCRIPCIÓN DE LAS PESAS   </t>
  </si>
  <si>
    <r>
      <t xml:space="preserve">  </t>
    </r>
    <r>
      <rPr>
        <b/>
        <sz val="12"/>
        <color theme="1"/>
        <rFont val="Arial Narrow"/>
        <family val="2"/>
      </rPr>
      <t>VALOR NOMINAL</t>
    </r>
  </si>
  <si>
    <t>7950 kg/m³</t>
  </si>
  <si>
    <t>± 140 kg/m³</t>
  </si>
  <si>
    <t>8.   TRAZABILIDAD DE LA MEDICIÓN</t>
  </si>
  <si>
    <t>9.   INCERTIDUMBRE DE MEDICIÓN</t>
  </si>
  <si>
    <r>
      <rPr>
        <b/>
        <sz val="10"/>
        <color theme="1"/>
        <rFont val="Arial Narrow"/>
        <family val="2"/>
      </rPr>
      <t>Incertidumbre</t>
    </r>
    <r>
      <rPr>
        <b/>
        <sz val="11"/>
        <color theme="1"/>
        <rFont val="Arial Narrow"/>
        <family val="2"/>
      </rPr>
      <t xml:space="preserve"> de la medición ± U (k=2) (mg)</t>
    </r>
  </si>
  <si>
    <t xml:space="preserve">Cumple </t>
  </si>
  <si>
    <r>
      <rPr>
        <b/>
        <sz val="10"/>
        <color theme="1"/>
        <rFont val="Arial Narrow"/>
        <family val="2"/>
      </rPr>
      <t>Temperatura</t>
    </r>
    <r>
      <rPr>
        <b/>
        <sz val="12"/>
        <color theme="1"/>
        <rFont val="Arial Narrow"/>
        <family val="2"/>
      </rPr>
      <t xml:space="preserve"> °C</t>
    </r>
  </si>
  <si>
    <t>SI/NO</t>
  </si>
  <si>
    <t>11.   OBSERVACIONES</t>
  </si>
  <si>
    <t>*   Se recomienda  no golpear la (s) pesa (s)</t>
  </si>
  <si>
    <t>*   Colocar las pesas sobre superficies limpias y secas</t>
  </si>
  <si>
    <t>*   La estampilla va adherida al estuche</t>
  </si>
  <si>
    <t>___________________________________</t>
  </si>
  <si>
    <t xml:space="preserve">                Firma Autorizada</t>
  </si>
  <si>
    <t xml:space="preserve">       Calibrado Por:</t>
  </si>
  <si>
    <t>………………………..FIN DE ESTE DOCUMENTO………………………..</t>
  </si>
  <si>
    <t>10 h 00 min</t>
  </si>
  <si>
    <t>10 h 42 min</t>
  </si>
  <si>
    <t>10 h 44 min</t>
  </si>
  <si>
    <t>11 h 15 min</t>
  </si>
  <si>
    <t>11 h 18 min</t>
  </si>
  <si>
    <t>11 h 40</t>
  </si>
  <si>
    <t>HOJA DE CÁLCULO PARA VERIFICACIONES INTERMEDIAS DE PESAS</t>
  </si>
  <si>
    <t>2.   LUGAR DE VERIFICACIÓN</t>
  </si>
  <si>
    <t xml:space="preserve"> 5.   MÉTODO DE VERIFICACIÓN  </t>
  </si>
  <si>
    <t>6.   PROCEDIMIENTO DE VERIFICACIÓN UTILIZADO</t>
  </si>
  <si>
    <t>Está verificación es trazable al INM a través de una cadena ininterrumpida de comparaciones. El patrón de referencia se utiliza para verificar el patrón de trabajo, que a su vez se utiliza para calibrar las pesas del cliente, cada paso de la trazabilidad está documentada, así mismo la incertidumbre de medición ha sido calculada.</t>
  </si>
  <si>
    <t>10. RESULTADOS DE LA VERIFICACIÓN</t>
  </si>
  <si>
    <t>RESULTADOS DE LA VERIFICACIÓN</t>
  </si>
  <si>
    <r>
      <t>Los resultados de la verificación indican que el error en masa convencional, está dentro de los límites de exactitud permitidos para las pesas clase M1.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Errores en masa convencional. DE ACUERDO CON LA OIML R 111 – 2004 numeral 5, tabla 1 (Errores en masa convencional para pesas de clases E1, E2, F1, F2, M1-2, M2, M2-3, M3)</t>
    </r>
  </si>
  <si>
    <t>*   Los informes de verificación sin firma no tienen validez.</t>
  </si>
  <si>
    <t>Responsable de la Verificación</t>
  </si>
  <si>
    <t>Fecha de elaboración del Informe de Vertificación:</t>
  </si>
  <si>
    <t>Arcesio Velandia Carreño</t>
  </si>
  <si>
    <t>Luis Henry Barreton Rojas</t>
  </si>
  <si>
    <t>E2</t>
  </si>
  <si>
    <t>AV. Cra. 50 N0. 26-55 5°</t>
  </si>
  <si>
    <t>16</t>
  </si>
  <si>
    <t>Informe No.</t>
  </si>
  <si>
    <t>001</t>
  </si>
  <si>
    <t>31301283/20893</t>
  </si>
  <si>
    <t>3.  INFORME N°</t>
  </si>
  <si>
    <t>OIML F1</t>
  </si>
  <si>
    <t>1 g a 5000 g</t>
  </si>
  <si>
    <t>EMP (± mg)</t>
  </si>
  <si>
    <r>
      <t xml:space="preserve">Resolución </t>
    </r>
    <r>
      <rPr>
        <i/>
        <sz val="10"/>
        <color theme="1"/>
        <rFont val="Arial"/>
        <family val="2"/>
      </rPr>
      <t>d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</si>
  <si>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Nt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</si>
  <si>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Nr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</si>
  <si>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t</t>
    </r>
  </si>
  <si>
    <r>
      <t xml:space="preserve">Error </t>
    </r>
    <r>
      <rPr>
        <b/>
        <i/>
        <sz val="10"/>
        <color theme="1"/>
        <rFont val="Arial"/>
        <family val="2"/>
      </rPr>
      <t>e</t>
    </r>
    <r>
      <rPr>
        <b/>
        <i/>
        <vertAlign val="subscript"/>
        <sz val="10"/>
        <color theme="1"/>
        <rFont val="Arial"/>
        <family val="2"/>
      </rPr>
      <t>r</t>
    </r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</si>
  <si>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</t>
    </r>
  </si>
  <si>
    <r>
      <t xml:space="preserve">Incertidumbre de calibración </t>
    </r>
    <r>
      <rPr>
        <b/>
        <i/>
        <sz val="10"/>
        <color theme="1"/>
        <rFont val="Arial"/>
        <family val="2"/>
      </rPr>
      <t>U(m</t>
    </r>
    <r>
      <rPr>
        <b/>
        <i/>
        <vertAlign val="subscript"/>
        <sz val="10"/>
        <color theme="1"/>
        <rFont val="Arial"/>
        <family val="2"/>
      </rPr>
      <t>cr</t>
    </r>
    <r>
      <rPr>
        <b/>
        <i/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 xml:space="preserve"> (k=2)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</si>
  <si>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r</t>
    </r>
  </si>
  <si>
    <r>
      <t xml:space="preserve">Incertidumbre de densidad </t>
    </r>
    <r>
      <rPr>
        <b/>
        <i/>
        <sz val="10"/>
        <color theme="1"/>
        <rFont val="Arial"/>
        <family val="2"/>
      </rPr>
      <t>u(ρ</t>
    </r>
    <r>
      <rPr>
        <b/>
        <i/>
        <vertAlign val="subscript"/>
        <sz val="10"/>
        <color theme="1"/>
        <rFont val="Arial"/>
        <family val="2"/>
      </rPr>
      <t>r</t>
    </r>
    <r>
      <rPr>
        <b/>
        <i/>
        <sz val="10"/>
        <color theme="1"/>
        <rFont val="Arial"/>
        <family val="2"/>
      </rPr>
      <t>)</t>
    </r>
  </si>
  <si>
    <r>
      <t>Densidad Aire en calibración</t>
    </r>
    <r>
      <rPr>
        <i/>
        <sz val="10"/>
        <color theme="1"/>
        <rFont val="Arial"/>
        <family val="2"/>
      </rPr>
      <t xml:space="preserve"> ρ</t>
    </r>
    <r>
      <rPr>
        <i/>
        <vertAlign val="subscript"/>
        <sz val="10"/>
        <color theme="1"/>
        <rFont val="Arial"/>
        <family val="2"/>
      </rPr>
      <t>a1</t>
    </r>
  </si>
  <si>
    <r>
      <t xml:space="preserve">Desviación
</t>
    </r>
    <r>
      <rPr>
        <b/>
        <i/>
        <sz val="11"/>
        <color theme="0" tint="-0.34998626667073579"/>
        <rFont val="Arial"/>
        <family val="2"/>
      </rPr>
      <t>s</t>
    </r>
  </si>
  <si>
    <r>
      <t xml:space="preserve">Densidad aire </t>
    </r>
    <r>
      <rPr>
        <b/>
        <i/>
        <sz val="11"/>
        <color theme="0" tint="-0.34998626667073579"/>
        <rFont val="Arial"/>
        <family val="2"/>
      </rPr>
      <t>ρ</t>
    </r>
    <r>
      <rPr>
        <b/>
        <i/>
        <vertAlign val="subscript"/>
        <sz val="11"/>
        <color theme="0" tint="-0.34998626667073579"/>
        <rFont val="Arial"/>
        <family val="2"/>
      </rPr>
      <t>a</t>
    </r>
  </si>
  <si>
    <r>
      <t>kg.m</t>
    </r>
    <r>
      <rPr>
        <b/>
        <vertAlign val="superscript"/>
        <sz val="11"/>
        <color theme="0" tint="-0.34998626667073579"/>
        <rFont val="Arial"/>
        <family val="2"/>
      </rPr>
      <t>-3</t>
    </r>
  </si>
  <si>
    <r>
      <t xml:space="preserve">Incertidumbre densidad aire </t>
    </r>
    <r>
      <rPr>
        <b/>
        <i/>
        <sz val="11"/>
        <color theme="0" tint="-0.34998626667073579"/>
        <rFont val="Arial"/>
        <family val="2"/>
      </rPr>
      <t>u(ρ</t>
    </r>
    <r>
      <rPr>
        <b/>
        <i/>
        <vertAlign val="subscript"/>
        <sz val="11"/>
        <color theme="0" tint="-0.34998626667073579"/>
        <rFont val="Arial"/>
        <family val="2"/>
      </rPr>
      <t>a</t>
    </r>
    <r>
      <rPr>
        <b/>
        <i/>
        <sz val="11"/>
        <color theme="0" tint="-0.34998626667073579"/>
        <rFont val="Arial"/>
        <family val="2"/>
      </rPr>
      <t>)</t>
    </r>
  </si>
  <si>
    <r>
      <t>Densidad aire convencional</t>
    </r>
    <r>
      <rPr>
        <b/>
        <sz val="14"/>
        <color theme="0" tint="-0.34998626667073579"/>
        <rFont val="Arial"/>
        <family val="2"/>
      </rPr>
      <t xml:space="preserve"> </t>
    </r>
    <r>
      <rPr>
        <i/>
        <sz val="14"/>
        <color theme="0" tint="-0.34998626667073579"/>
        <rFont val="Arial"/>
        <family val="2"/>
      </rPr>
      <t>ρ</t>
    </r>
    <r>
      <rPr>
        <i/>
        <vertAlign val="subscript"/>
        <sz val="14"/>
        <color theme="0" tint="-0.34998626667073579"/>
        <rFont val="Arial"/>
        <family val="2"/>
      </rPr>
      <t>0</t>
    </r>
  </si>
  <si>
    <r>
      <t xml:space="preserve">Masa convencional de referencia </t>
    </r>
    <r>
      <rPr>
        <i/>
        <sz val="11"/>
        <color theme="0" tint="-0.34998626667073579"/>
        <rFont val="Arial"/>
        <family val="2"/>
      </rPr>
      <t>m</t>
    </r>
    <r>
      <rPr>
        <i/>
        <vertAlign val="subscript"/>
        <sz val="11"/>
        <color theme="0" tint="-0.34998626667073579"/>
        <rFont val="Arial"/>
        <family val="2"/>
      </rPr>
      <t>cr</t>
    </r>
  </si>
  <si>
    <r>
      <t xml:space="preserve">Masa convencional </t>
    </r>
    <r>
      <rPr>
        <i/>
        <sz val="11"/>
        <color theme="0" tint="-0.34998626667073579"/>
        <rFont val="Arial"/>
        <family val="2"/>
      </rPr>
      <t>m</t>
    </r>
    <r>
      <rPr>
        <i/>
        <vertAlign val="subscript"/>
        <sz val="11"/>
        <color theme="0" tint="-0.34998626667073579"/>
        <rFont val="Arial"/>
        <family val="2"/>
      </rPr>
      <t>ct</t>
    </r>
  </si>
  <si>
    <r>
      <t>Error e</t>
    </r>
    <r>
      <rPr>
        <vertAlign val="subscript"/>
        <sz val="11"/>
        <color theme="0" tint="-0.34998626667073579"/>
        <rFont val="Arial"/>
        <family val="2"/>
      </rPr>
      <t>er    Masa convencional</t>
    </r>
  </si>
  <si>
    <r>
      <t>m</t>
    </r>
    <r>
      <rPr>
        <vertAlign val="subscript"/>
        <sz val="11"/>
        <color theme="0" tint="-0.34998626667073579"/>
        <rFont val="Arial"/>
        <family val="2"/>
      </rPr>
      <t>ct</t>
    </r>
  </si>
  <si>
    <r>
      <t>e</t>
    </r>
    <r>
      <rPr>
        <vertAlign val="subscript"/>
        <sz val="14"/>
        <color theme="0" tint="-0.34998626667073579"/>
        <rFont val="Arial"/>
        <family val="2"/>
      </rPr>
      <t>ct</t>
    </r>
  </si>
  <si>
    <r>
      <t xml:space="preserve">Incertidumbre masa convencional </t>
    </r>
    <r>
      <rPr>
        <i/>
        <sz val="11"/>
        <color theme="0" tint="-0.34998626667073579"/>
        <rFont val="Arial"/>
        <family val="2"/>
      </rPr>
      <t>U(m</t>
    </r>
    <r>
      <rPr>
        <i/>
        <vertAlign val="subscript"/>
        <sz val="11"/>
        <color theme="0" tint="-0.34998626667073579"/>
        <rFont val="Arial"/>
        <family val="2"/>
      </rPr>
      <t>ct</t>
    </r>
    <r>
      <rPr>
        <i/>
        <sz val="11"/>
        <color theme="0" tint="-0.34998626667073579"/>
        <rFont val="Arial"/>
        <family val="2"/>
      </rPr>
      <t>)(k=2)</t>
    </r>
  </si>
  <si>
    <t>Lugar de Verificación</t>
  </si>
  <si>
    <t>Fecha de verificación</t>
  </si>
  <si>
    <t>No. de pesas a verificar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</si>
</sst>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;@"/>
    <numFmt numFmtId="165" formatCode="0.000"/>
    <numFmt numFmtId="166" formatCode="0.0"/>
    <numFmt numFmtId="167" formatCode="0.00000"/>
    <numFmt numFmtId="168" formatCode="0.0000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i/>
      <sz val="13.2"/>
      <color theme="1"/>
      <name val="Times New Roman"/>
      <family val="1"/>
    </font>
    <font>
      <b/>
      <i/>
      <vertAlign val="subscript"/>
      <sz val="13.2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name val="Times New Roman"/>
      <family val="1"/>
    </font>
    <font>
      <b/>
      <i/>
      <sz val="11"/>
      <color theme="0"/>
      <name val="Times New Roman"/>
      <family val="1"/>
    </font>
    <font>
      <b/>
      <i/>
      <vertAlign val="subscript"/>
      <sz val="11"/>
      <color theme="0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4"/>
      <color theme="0"/>
      <name val="Times New Roman"/>
      <family val="1"/>
    </font>
    <font>
      <i/>
      <vertAlign val="subscript"/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b/>
      <sz val="1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i/>
      <sz val="11"/>
      <color theme="0" tint="-0.34998626667073579"/>
      <name val="Arial"/>
      <family val="2"/>
    </font>
    <font>
      <b/>
      <i/>
      <vertAlign val="subscript"/>
      <sz val="11"/>
      <color theme="0" tint="-0.34998626667073579"/>
      <name val="Arial"/>
      <family val="2"/>
    </font>
    <font>
      <b/>
      <vertAlign val="superscript"/>
      <sz val="11"/>
      <color theme="0" tint="-0.34998626667073579"/>
      <name val="Arial"/>
      <family val="2"/>
    </font>
    <font>
      <i/>
      <sz val="14"/>
      <color theme="0" tint="-0.34998626667073579"/>
      <name val="Arial"/>
      <family val="2"/>
    </font>
    <font>
      <i/>
      <vertAlign val="subscript"/>
      <sz val="14"/>
      <color theme="0" tint="-0.34998626667073579"/>
      <name val="Arial"/>
      <family val="2"/>
    </font>
    <font>
      <i/>
      <sz val="11"/>
      <color theme="0" tint="-0.34998626667073579"/>
      <name val="Arial"/>
      <family val="2"/>
    </font>
    <font>
      <i/>
      <vertAlign val="subscript"/>
      <sz val="11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vertAlign val="subscript"/>
      <sz val="11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vertAlign val="subscript"/>
      <sz val="14"/>
      <color theme="0" tint="-0.34998626667073579"/>
      <name val="Arial"/>
      <family val="2"/>
    </font>
    <font>
      <b/>
      <sz val="18"/>
      <color theme="0" tint="-0.34998626667073579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theme="5" tint="-0.24994659260841701"/>
      </top>
      <bottom style="thick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5">
    <xf numFmtId="0" fontId="0" fillId="0" borderId="0" xfId="0"/>
    <xf numFmtId="0" fontId="4" fillId="0" borderId="0" xfId="0" applyFont="1"/>
    <xf numFmtId="2" fontId="4" fillId="4" borderId="0" xfId="0" applyNumberFormat="1" applyFont="1" applyFill="1" applyBorder="1" applyProtection="1"/>
    <xf numFmtId="2" fontId="4" fillId="0" borderId="0" xfId="0" applyNumberFormat="1" applyFont="1" applyProtection="1"/>
    <xf numFmtId="2" fontId="4" fillId="0" borderId="0" xfId="0" applyNumberFormat="1" applyFont="1" applyFill="1" applyBorder="1" applyProtection="1"/>
    <xf numFmtId="2" fontId="7" fillId="2" borderId="16" xfId="1" applyNumberFormat="1" applyFont="1" applyFill="1" applyBorder="1" applyAlignment="1" applyProtection="1">
      <alignment horizontal="center" vertical="center"/>
    </xf>
    <xf numFmtId="2" fontId="4" fillId="5" borderId="32" xfId="0" applyNumberFormat="1" applyFont="1" applyFill="1" applyBorder="1" applyAlignment="1" applyProtection="1">
      <alignment horizontal="center" vertical="center"/>
      <protection locked="0"/>
    </xf>
    <xf numFmtId="2" fontId="7" fillId="2" borderId="23" xfId="1" applyNumberFormat="1" applyFont="1" applyFill="1" applyBorder="1" applyAlignment="1" applyProtection="1">
      <alignment horizontal="center" vertical="center" wrapText="1"/>
    </xf>
    <xf numFmtId="164" fontId="4" fillId="6" borderId="17" xfId="0" applyNumberFormat="1" applyFont="1" applyFill="1" applyBorder="1" applyAlignment="1" applyProtection="1">
      <alignment horizontal="center" vertical="center"/>
      <protection locked="0"/>
    </xf>
    <xf numFmtId="164" fontId="4" fillId="6" borderId="9" xfId="0" applyNumberFormat="1" applyFont="1" applyFill="1" applyBorder="1" applyAlignment="1" applyProtection="1">
      <alignment horizontal="center" vertical="center"/>
      <protection locked="0"/>
    </xf>
    <xf numFmtId="2" fontId="7" fillId="2" borderId="18" xfId="1" applyNumberFormat="1" applyFont="1" applyFill="1" applyBorder="1" applyAlignment="1" applyProtection="1">
      <alignment horizontal="center" vertical="center"/>
    </xf>
    <xf numFmtId="2" fontId="7" fillId="2" borderId="17" xfId="1" applyNumberFormat="1" applyFont="1" applyFill="1" applyBorder="1" applyAlignment="1" applyProtection="1">
      <alignment horizontal="center" vertical="center"/>
    </xf>
    <xf numFmtId="2" fontId="9" fillId="6" borderId="23" xfId="0" applyNumberFormat="1" applyFont="1" applyFill="1" applyBorder="1" applyAlignment="1" applyProtection="1">
      <alignment horizontal="center" vertical="center" wrapText="1"/>
    </xf>
    <xf numFmtId="2" fontId="4" fillId="4" borderId="0" xfId="0" applyNumberFormat="1" applyFont="1" applyFill="1" applyBorder="1" applyAlignment="1" applyProtection="1">
      <alignment horizontal="center" vertical="center"/>
      <protection locked="0"/>
    </xf>
    <xf numFmtId="2" fontId="7" fillId="4" borderId="0" xfId="1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Protection="1"/>
    <xf numFmtId="2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0" xfId="0" applyNumberFormat="1" applyFont="1" applyFill="1" applyBorder="1" applyAlignment="1" applyProtection="1">
      <alignment vertical="center"/>
    </xf>
    <xf numFmtId="2" fontId="9" fillId="4" borderId="0" xfId="0" applyNumberFormat="1" applyFont="1" applyFill="1" applyBorder="1" applyAlignment="1" applyProtection="1">
      <alignment vertical="center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164" fontId="4" fillId="6" borderId="23" xfId="0" applyNumberFormat="1" applyFont="1" applyFill="1" applyBorder="1" applyAlignment="1" applyProtection="1">
      <alignment horizontal="center" vertical="center"/>
      <protection locked="0"/>
    </xf>
    <xf numFmtId="49" fontId="9" fillId="6" borderId="17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/>
    <xf numFmtId="0" fontId="11" fillId="8" borderId="3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164" fontId="12" fillId="6" borderId="36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4" borderId="22" xfId="0" applyFont="1" applyFill="1" applyBorder="1"/>
    <xf numFmtId="0" fontId="20" fillId="8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vertical="center" wrapText="1"/>
    </xf>
    <xf numFmtId="0" fontId="22" fillId="6" borderId="34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top" wrapText="1"/>
    </xf>
    <xf numFmtId="0" fontId="10" fillId="7" borderId="45" xfId="0" applyFont="1" applyFill="1" applyBorder="1" applyAlignment="1">
      <alignment horizontal="center" vertical="center" wrapText="1"/>
    </xf>
    <xf numFmtId="11" fontId="11" fillId="8" borderId="24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/>
    <xf numFmtId="0" fontId="11" fillId="8" borderId="35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/>
    </xf>
    <xf numFmtId="2" fontId="11" fillId="8" borderId="4" xfId="0" applyNumberFormat="1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wrapText="1"/>
    </xf>
    <xf numFmtId="0" fontId="4" fillId="8" borderId="20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0" fillId="8" borderId="47" xfId="0" applyFont="1" applyFill="1" applyBorder="1" applyAlignment="1">
      <alignment vertical="top" wrapText="1"/>
    </xf>
    <xf numFmtId="0" fontId="11" fillId="8" borderId="20" xfId="0" applyFont="1" applyFill="1" applyBorder="1" applyAlignment="1">
      <alignment vertical="top" wrapText="1"/>
    </xf>
    <xf numFmtId="165" fontId="11" fillId="8" borderId="14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Border="1"/>
    <xf numFmtId="0" fontId="9" fillId="9" borderId="47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wrapText="1"/>
    </xf>
    <xf numFmtId="0" fontId="4" fillId="9" borderId="20" xfId="0" applyFont="1" applyFill="1" applyBorder="1"/>
    <xf numFmtId="2" fontId="4" fillId="9" borderId="14" xfId="0" applyNumberFormat="1" applyFont="1" applyFill="1" applyBorder="1" applyAlignment="1">
      <alignment horizontal="center" vertical="center"/>
    </xf>
    <xf numFmtId="0" fontId="20" fillId="8" borderId="47" xfId="0" applyFont="1" applyFill="1" applyBorder="1" applyAlignment="1">
      <alignment horizontal="left" vertical="center" wrapText="1"/>
    </xf>
    <xf numFmtId="0" fontId="11" fillId="8" borderId="20" xfId="0" applyFont="1" applyFill="1" applyBorder="1"/>
    <xf numFmtId="2" fontId="11" fillId="8" borderId="14" xfId="0" applyNumberFormat="1" applyFont="1" applyFill="1" applyBorder="1" applyAlignment="1">
      <alignment horizontal="center" vertical="center"/>
    </xf>
    <xf numFmtId="1" fontId="4" fillId="9" borderId="14" xfId="0" applyNumberFormat="1" applyFont="1" applyFill="1" applyBorder="1" applyAlignment="1">
      <alignment horizontal="center" vertical="center"/>
    </xf>
    <xf numFmtId="0" fontId="4" fillId="4" borderId="30" xfId="0" applyFont="1" applyFill="1" applyBorder="1"/>
    <xf numFmtId="0" fontId="4" fillId="4" borderId="0" xfId="0" applyFont="1" applyFill="1"/>
    <xf numFmtId="0" fontId="20" fillId="8" borderId="38" xfId="0" applyFont="1" applyFill="1" applyBorder="1" applyAlignment="1">
      <alignment horizontal="left" vertical="center" wrapText="1"/>
    </xf>
    <xf numFmtId="0" fontId="11" fillId="8" borderId="39" xfId="0" applyFont="1" applyFill="1" applyBorder="1"/>
    <xf numFmtId="0" fontId="4" fillId="4" borderId="27" xfId="0" applyFont="1" applyFill="1" applyBorder="1"/>
    <xf numFmtId="0" fontId="4" fillId="0" borderId="0" xfId="0" applyFont="1" applyBorder="1"/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" xfId="0" applyNumberFormat="1" applyFont="1" applyFill="1" applyBorder="1" applyAlignment="1">
      <alignment horizontal="center" vertical="center" wrapText="1"/>
    </xf>
    <xf numFmtId="167" fontId="4" fillId="6" borderId="2" xfId="0" applyNumberFormat="1" applyFont="1" applyFill="1" applyBorder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vertical="center"/>
    </xf>
    <xf numFmtId="167" fontId="4" fillId="8" borderId="42" xfId="0" applyNumberFormat="1" applyFont="1" applyFill="1" applyBorder="1" applyAlignment="1">
      <alignment horizontal="center" vertical="center"/>
    </xf>
    <xf numFmtId="167" fontId="4" fillId="8" borderId="34" xfId="0" applyNumberFormat="1" applyFont="1" applyFill="1" applyBorder="1" applyAlignment="1">
      <alignment horizontal="center" vertical="center"/>
    </xf>
    <xf numFmtId="167" fontId="4" fillId="8" borderId="35" xfId="0" applyNumberFormat="1" applyFont="1" applyFill="1" applyBorder="1" applyAlignment="1">
      <alignment horizontal="center" vertical="center"/>
    </xf>
    <xf numFmtId="167" fontId="4" fillId="8" borderId="20" xfId="0" applyNumberFormat="1" applyFont="1" applyFill="1" applyBorder="1" applyAlignment="1">
      <alignment horizontal="center" vertical="center"/>
    </xf>
    <xf numFmtId="167" fontId="4" fillId="8" borderId="2" xfId="0" applyNumberFormat="1" applyFont="1" applyFill="1" applyBorder="1" applyAlignment="1">
      <alignment horizontal="center" vertical="center"/>
    </xf>
    <xf numFmtId="167" fontId="4" fillId="8" borderId="10" xfId="0" applyNumberFormat="1" applyFont="1" applyFill="1" applyBorder="1" applyAlignment="1">
      <alignment horizontal="center" vertical="center"/>
    </xf>
    <xf numFmtId="167" fontId="4" fillId="8" borderId="39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horizontal="center" vertical="center"/>
    </xf>
    <xf numFmtId="167" fontId="4" fillId="8" borderId="6" xfId="0" applyNumberFormat="1" applyFont="1" applyFill="1" applyBorder="1" applyAlignment="1">
      <alignment horizontal="center" vertical="center"/>
    </xf>
    <xf numFmtId="167" fontId="11" fillId="8" borderId="17" xfId="0" applyNumberFormat="1" applyFont="1" applyFill="1" applyBorder="1" applyAlignment="1">
      <alignment horizontal="center" vertical="center"/>
    </xf>
    <xf numFmtId="168" fontId="11" fillId="8" borderId="13" xfId="0" applyNumberFormat="1" applyFont="1" applyFill="1" applyBorder="1" applyAlignment="1">
      <alignment horizontal="center" vertical="center"/>
    </xf>
    <xf numFmtId="168" fontId="11" fillId="8" borderId="4" xfId="0" applyNumberFormat="1" applyFont="1" applyFill="1" applyBorder="1" applyAlignment="1">
      <alignment horizontal="center" vertical="center"/>
    </xf>
    <xf numFmtId="167" fontId="11" fillId="8" borderId="4" xfId="0" applyNumberFormat="1" applyFont="1" applyFill="1" applyBorder="1" applyAlignment="1">
      <alignment horizontal="center" vertical="center"/>
    </xf>
    <xf numFmtId="1" fontId="4" fillId="8" borderId="49" xfId="0" applyNumberFormat="1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0" fontId="4" fillId="8" borderId="5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166" fontId="4" fillId="10" borderId="5" xfId="0" applyNumberFormat="1" applyFont="1" applyFill="1" applyBorder="1" applyAlignment="1">
      <alignment horizontal="center" vertical="center"/>
    </xf>
    <xf numFmtId="165" fontId="29" fillId="8" borderId="5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167" fontId="4" fillId="6" borderId="5" xfId="0" applyNumberFormat="1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wrapText="1"/>
    </xf>
    <xf numFmtId="167" fontId="4" fillId="8" borderId="38" xfId="0" applyNumberFormat="1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/>
    </xf>
    <xf numFmtId="2" fontId="4" fillId="8" borderId="13" xfId="0" applyNumberFormat="1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165" fontId="4" fillId="8" borderId="42" xfId="0" applyNumberFormat="1" applyFont="1" applyFill="1" applyBorder="1" applyAlignment="1">
      <alignment horizontal="center" vertical="center"/>
    </xf>
    <xf numFmtId="165" fontId="4" fillId="8" borderId="34" xfId="0" applyNumberFormat="1" applyFont="1" applyFill="1" applyBorder="1" applyAlignment="1">
      <alignment horizontal="center" vertical="center"/>
    </xf>
    <xf numFmtId="165" fontId="4" fillId="8" borderId="35" xfId="0" applyNumberFormat="1" applyFont="1" applyFill="1" applyBorder="1" applyAlignment="1">
      <alignment horizontal="center" vertical="center"/>
    </xf>
    <xf numFmtId="165" fontId="4" fillId="8" borderId="20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165" fontId="4" fillId="8" borderId="10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4" fillId="8" borderId="34" xfId="0" applyNumberFormat="1" applyFont="1" applyFill="1" applyBorder="1" applyAlignment="1">
      <alignment horizontal="center" vertical="center"/>
    </xf>
    <xf numFmtId="2" fontId="4" fillId="8" borderId="35" xfId="0" applyNumberFormat="1" applyFont="1" applyFill="1" applyBorder="1" applyAlignment="1">
      <alignment horizontal="center" vertical="center"/>
    </xf>
    <xf numFmtId="2" fontId="4" fillId="8" borderId="20" xfId="0" applyNumberFormat="1" applyFont="1" applyFill="1" applyBorder="1" applyAlignment="1">
      <alignment horizontal="center" vertical="center"/>
    </xf>
    <xf numFmtId="2" fontId="4" fillId="8" borderId="2" xfId="0" applyNumberFormat="1" applyFont="1" applyFill="1" applyBorder="1" applyAlignment="1">
      <alignment horizontal="center" vertical="center"/>
    </xf>
    <xf numFmtId="2" fontId="4" fillId="8" borderId="10" xfId="0" applyNumberFormat="1" applyFont="1" applyFill="1" applyBorder="1" applyAlignment="1">
      <alignment horizontal="center" vertical="center"/>
    </xf>
    <xf numFmtId="165" fontId="4" fillId="8" borderId="39" xfId="0" applyNumberFormat="1" applyFont="1" applyFill="1" applyBorder="1" applyAlignment="1">
      <alignment horizontal="center" vertical="center"/>
    </xf>
    <xf numFmtId="165" fontId="4" fillId="8" borderId="5" xfId="0" applyNumberFormat="1" applyFont="1" applyFill="1" applyBorder="1" applyAlignment="1">
      <alignment horizontal="center" vertical="center"/>
    </xf>
    <xf numFmtId="165" fontId="4" fillId="8" borderId="6" xfId="0" applyNumberFormat="1" applyFont="1" applyFill="1" applyBorder="1" applyAlignment="1">
      <alignment horizontal="center" vertical="center"/>
    </xf>
    <xf numFmtId="2" fontId="4" fillId="8" borderId="39" xfId="0" applyNumberFormat="1" applyFont="1" applyFill="1" applyBorder="1" applyAlignment="1">
      <alignment horizontal="center" vertical="center"/>
    </xf>
    <xf numFmtId="2" fontId="4" fillId="8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11" borderId="23" xfId="0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/>
    </xf>
    <xf numFmtId="0" fontId="36" fillId="0" borderId="0" xfId="0" applyFont="1"/>
    <xf numFmtId="0" fontId="36" fillId="4" borderId="28" xfId="0" applyFont="1" applyFill="1" applyBorder="1" applyAlignment="1">
      <alignment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8" xfId="0" applyFont="1" applyBorder="1"/>
    <xf numFmtId="0" fontId="36" fillId="4" borderId="0" xfId="0" applyFont="1" applyFill="1" applyBorder="1" applyAlignment="1">
      <alignment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Alignment="1"/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justify" vertical="justify" wrapText="1"/>
    </xf>
    <xf numFmtId="0" fontId="36" fillId="0" borderId="0" xfId="0" applyFont="1" applyAlignment="1">
      <alignment horizontal="left" vertical="justify" wrapText="1"/>
    </xf>
    <xf numFmtId="0" fontId="36" fillId="0" borderId="0" xfId="0" applyFont="1" applyAlignment="1">
      <alignment horizontal="center" vertical="justify" wrapText="1"/>
    </xf>
    <xf numFmtId="0" fontId="37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19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2" fillId="0" borderId="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2" fontId="36" fillId="4" borderId="2" xfId="0" applyNumberFormat="1" applyFont="1" applyFill="1" applyBorder="1" applyAlignment="1">
      <alignment horizontal="center" vertical="center" wrapText="1"/>
    </xf>
    <xf numFmtId="166" fontId="36" fillId="4" borderId="2" xfId="0" applyNumberFormat="1" applyFont="1" applyFill="1" applyBorder="1" applyAlignment="1">
      <alignment horizontal="center" vertical="center" wrapText="1"/>
    </xf>
    <xf numFmtId="1" fontId="36" fillId="4" borderId="2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/>
    <xf numFmtId="0" fontId="37" fillId="0" borderId="0" xfId="0" applyFont="1" applyAlignment="1">
      <alignment horizontal="left"/>
    </xf>
    <xf numFmtId="0" fontId="42" fillId="0" borderId="21" xfId="0" applyFont="1" applyBorder="1" applyAlignment="1">
      <alignment horizontal="center" vertical="center" wrapText="1"/>
    </xf>
    <xf numFmtId="166" fontId="4" fillId="8" borderId="5" xfId="0" applyNumberFormat="1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justify" wrapText="1"/>
    </xf>
    <xf numFmtId="164" fontId="36" fillId="0" borderId="0" xfId="0" applyNumberFormat="1" applyFont="1" applyAlignment="1"/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1" fillId="8" borderId="58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165" fontId="0" fillId="5" borderId="34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6" fontId="0" fillId="5" borderId="2" xfId="0" applyNumberFormat="1" applyFill="1" applyBorder="1" applyAlignment="1">
      <alignment horizontal="center" vertical="center"/>
    </xf>
    <xf numFmtId="49" fontId="36" fillId="0" borderId="0" xfId="0" applyNumberFormat="1" applyFont="1" applyAlignment="1"/>
    <xf numFmtId="0" fontId="3" fillId="0" borderId="0" xfId="0" applyFont="1"/>
    <xf numFmtId="2" fontId="3" fillId="0" borderId="0" xfId="0" applyNumberFormat="1" applyFont="1" applyProtection="1"/>
    <xf numFmtId="2" fontId="3" fillId="0" borderId="0" xfId="0" applyNumberFormat="1" applyFont="1" applyFill="1" applyBorder="1" applyProtection="1"/>
    <xf numFmtId="2" fontId="44" fillId="6" borderId="23" xfId="0" applyNumberFormat="1" applyFont="1" applyFill="1" applyBorder="1" applyAlignment="1" applyProtection="1">
      <alignment horizontal="center" vertical="center" wrapText="1"/>
    </xf>
    <xf numFmtId="2" fontId="3" fillId="4" borderId="0" xfId="0" applyNumberFormat="1" applyFont="1" applyFill="1" applyBorder="1" applyProtection="1"/>
    <xf numFmtId="2" fontId="44" fillId="4" borderId="0" xfId="0" applyNumberFormat="1" applyFont="1" applyFill="1" applyBorder="1" applyAlignment="1" applyProtection="1">
      <alignment vertical="center"/>
    </xf>
    <xf numFmtId="49" fontId="44" fillId="6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Border="1"/>
    <xf numFmtId="0" fontId="3" fillId="4" borderId="0" xfId="0" applyFont="1" applyFill="1" applyBorder="1"/>
    <xf numFmtId="0" fontId="44" fillId="6" borderId="2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4" fillId="6" borderId="14" xfId="0" applyFont="1" applyFill="1" applyBorder="1" applyAlignment="1">
      <alignment horizontal="center" vertical="center" wrapText="1"/>
    </xf>
    <xf numFmtId="0" fontId="3" fillId="4" borderId="22" xfId="0" applyFont="1" applyFill="1" applyBorder="1"/>
    <xf numFmtId="0" fontId="47" fillId="8" borderId="5" xfId="0" applyFont="1" applyFill="1" applyBorder="1" applyAlignment="1">
      <alignment horizontal="left" vertical="center" wrapText="1"/>
    </xf>
    <xf numFmtId="0" fontId="3" fillId="4" borderId="0" xfId="0" applyFont="1" applyFill="1"/>
    <xf numFmtId="2" fontId="48" fillId="2" borderId="16" xfId="1" applyNumberFormat="1" applyFont="1" applyFill="1" applyBorder="1" applyAlignment="1" applyProtection="1">
      <alignment horizontal="center" vertical="center"/>
    </xf>
    <xf numFmtId="2" fontId="44" fillId="5" borderId="32" xfId="0" applyNumberFormat="1" applyFont="1" applyFill="1" applyBorder="1" applyAlignment="1" applyProtection="1">
      <alignment horizontal="center" vertical="center"/>
      <protection locked="0"/>
    </xf>
    <xf numFmtId="2" fontId="48" fillId="2" borderId="23" xfId="1" applyNumberFormat="1" applyFont="1" applyFill="1" applyBorder="1" applyAlignment="1" applyProtection="1">
      <alignment horizontal="center" vertical="center" wrapText="1"/>
    </xf>
    <xf numFmtId="164" fontId="44" fillId="6" borderId="17" xfId="0" applyNumberFormat="1" applyFont="1" applyFill="1" applyBorder="1" applyAlignment="1" applyProtection="1">
      <alignment horizontal="center" vertical="center"/>
      <protection locked="0"/>
    </xf>
    <xf numFmtId="164" fontId="44" fillId="6" borderId="9" xfId="0" applyNumberFormat="1" applyFont="1" applyFill="1" applyBorder="1" applyAlignment="1" applyProtection="1">
      <alignment horizontal="center" vertical="center"/>
      <protection locked="0"/>
    </xf>
    <xf numFmtId="2" fontId="48" fillId="2" borderId="18" xfId="1" applyNumberFormat="1" applyFont="1" applyFill="1" applyBorder="1" applyAlignment="1" applyProtection="1">
      <alignment horizontal="center" vertical="center"/>
    </xf>
    <xf numFmtId="2" fontId="44" fillId="5" borderId="18" xfId="0" applyNumberFormat="1" applyFont="1" applyFill="1" applyBorder="1" applyAlignment="1" applyProtection="1">
      <alignment horizontal="center" vertical="center" wrapText="1"/>
      <protection locked="0"/>
    </xf>
    <xf numFmtId="2" fontId="48" fillId="2" borderId="17" xfId="1" applyNumberFormat="1" applyFont="1" applyFill="1" applyBorder="1" applyAlignment="1" applyProtection="1">
      <alignment horizontal="center" vertical="center"/>
    </xf>
    <xf numFmtId="2" fontId="48" fillId="4" borderId="0" xfId="1" applyNumberFormat="1" applyFont="1" applyFill="1" applyBorder="1" applyAlignment="1" applyProtection="1">
      <alignment horizontal="center" vertical="center"/>
    </xf>
    <xf numFmtId="2" fontId="44" fillId="4" borderId="0" xfId="0" applyNumberFormat="1" applyFont="1" applyFill="1" applyBorder="1" applyAlignment="1" applyProtection="1">
      <alignment horizontal="center" vertical="center"/>
      <protection locked="0"/>
    </xf>
    <xf numFmtId="164" fontId="44" fillId="4" borderId="0" xfId="0" applyNumberFormat="1" applyFont="1" applyFill="1" applyBorder="1" applyAlignment="1" applyProtection="1">
      <alignment horizontal="center" vertical="center"/>
      <protection locked="0"/>
    </xf>
    <xf numFmtId="2" fontId="44" fillId="0" borderId="0" xfId="0" applyNumberFormat="1" applyFont="1" applyBorder="1" applyProtection="1"/>
    <xf numFmtId="2" fontId="44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44" fillId="6" borderId="18" xfId="0" applyNumberFormat="1" applyFont="1" applyFill="1" applyBorder="1" applyAlignment="1" applyProtection="1">
      <alignment horizontal="center" vertical="center"/>
      <protection locked="0"/>
    </xf>
    <xf numFmtId="164" fontId="44" fillId="6" borderId="23" xfId="0" applyNumberFormat="1" applyFont="1" applyFill="1" applyBorder="1" applyAlignment="1" applyProtection="1">
      <alignment horizontal="center" vertical="center"/>
      <protection locked="0"/>
    </xf>
    <xf numFmtId="0" fontId="47" fillId="8" borderId="3" xfId="0" applyFont="1" applyFill="1" applyBorder="1" applyAlignment="1">
      <alignment vertical="center"/>
    </xf>
    <xf numFmtId="0" fontId="47" fillId="8" borderId="2" xfId="0" applyFont="1" applyFill="1" applyBorder="1" applyAlignment="1">
      <alignment vertical="center"/>
    </xf>
    <xf numFmtId="0" fontId="44" fillId="6" borderId="10" xfId="0" applyFont="1" applyFill="1" applyBorder="1" applyAlignment="1">
      <alignment horizontal="center" vertical="center" wrapText="1"/>
    </xf>
    <xf numFmtId="0" fontId="44" fillId="4" borderId="0" xfId="0" applyFont="1" applyFill="1" applyBorder="1"/>
    <xf numFmtId="0" fontId="47" fillId="8" borderId="3" xfId="0" applyFont="1" applyFill="1" applyBorder="1" applyAlignment="1">
      <alignment vertical="center" wrapText="1"/>
    </xf>
    <xf numFmtId="0" fontId="47" fillId="8" borderId="21" xfId="0" applyFont="1" applyFill="1" applyBorder="1" applyAlignment="1">
      <alignment vertical="center" wrapText="1"/>
    </xf>
    <xf numFmtId="164" fontId="44" fillId="6" borderId="36" xfId="0" applyNumberFormat="1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vertical="center"/>
    </xf>
    <xf numFmtId="0" fontId="44" fillId="6" borderId="5" xfId="0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center" vertical="center"/>
    </xf>
    <xf numFmtId="0" fontId="47" fillId="8" borderId="3" xfId="0" applyFont="1" applyFill="1" applyBorder="1" applyAlignment="1">
      <alignment horizontal="left" vertical="center" wrapText="1"/>
    </xf>
    <xf numFmtId="0" fontId="47" fillId="8" borderId="2" xfId="0" applyFont="1" applyFill="1" applyBorder="1" applyAlignment="1">
      <alignment horizontal="left" vertical="center" wrapText="1"/>
    </xf>
    <xf numFmtId="49" fontId="44" fillId="6" borderId="2" xfId="0" applyNumberFormat="1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44" fillId="6" borderId="6" xfId="0" applyFont="1" applyFill="1" applyBorder="1" applyAlignment="1">
      <alignment horizontal="center" vertical="center" wrapText="1"/>
    </xf>
    <xf numFmtId="0" fontId="53" fillId="4" borderId="0" xfId="0" applyFont="1" applyFill="1" applyBorder="1"/>
    <xf numFmtId="0" fontId="53" fillId="0" borderId="0" xfId="0" applyFont="1" applyBorder="1"/>
    <xf numFmtId="0" fontId="53" fillId="0" borderId="0" xfId="0" applyFont="1"/>
    <xf numFmtId="0" fontId="54" fillId="4" borderId="26" xfId="0" applyFont="1" applyFill="1" applyBorder="1" applyAlignment="1">
      <alignment horizontal="center" vertical="center"/>
    </xf>
    <xf numFmtId="0" fontId="54" fillId="4" borderId="27" xfId="0" applyFont="1" applyFill="1" applyBorder="1" applyAlignment="1">
      <alignment horizontal="center" vertical="center"/>
    </xf>
    <xf numFmtId="0" fontId="54" fillId="4" borderId="25" xfId="0" applyFont="1" applyFill="1" applyBorder="1" applyAlignment="1">
      <alignment horizontal="center" vertical="center"/>
    </xf>
    <xf numFmtId="0" fontId="55" fillId="8" borderId="7" xfId="0" applyFont="1" applyFill="1" applyBorder="1" applyAlignment="1">
      <alignment vertical="center" wrapText="1"/>
    </xf>
    <xf numFmtId="0" fontId="53" fillId="6" borderId="8" xfId="0" applyFont="1" applyFill="1" applyBorder="1" applyAlignment="1">
      <alignment horizontal="center" vertical="center"/>
    </xf>
    <xf numFmtId="0" fontId="55" fillId="8" borderId="8" xfId="0" applyFont="1" applyFill="1" applyBorder="1" applyAlignment="1">
      <alignment vertical="center" wrapText="1"/>
    </xf>
    <xf numFmtId="0" fontId="53" fillId="6" borderId="9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vertical="center" wrapText="1"/>
    </xf>
    <xf numFmtId="0" fontId="53" fillId="6" borderId="34" xfId="0" applyFont="1" applyFill="1" applyBorder="1" applyAlignment="1">
      <alignment horizontal="center" vertical="center"/>
    </xf>
    <xf numFmtId="0" fontId="55" fillId="8" borderId="2" xfId="0" applyFont="1" applyFill="1" applyBorder="1" applyAlignment="1">
      <alignment horizontal="center" vertical="center"/>
    </xf>
    <xf numFmtId="0" fontId="55" fillId="8" borderId="10" xfId="0" applyFont="1" applyFill="1" applyBorder="1" applyAlignment="1">
      <alignment horizontal="center" vertical="center"/>
    </xf>
    <xf numFmtId="2" fontId="53" fillId="6" borderId="2" xfId="0" applyNumberFormat="1" applyFont="1" applyFill="1" applyBorder="1" applyAlignment="1">
      <alignment horizontal="center" vertical="center"/>
    </xf>
    <xf numFmtId="2" fontId="53" fillId="6" borderId="10" xfId="0" applyNumberFormat="1" applyFont="1" applyFill="1" applyBorder="1" applyAlignment="1">
      <alignment horizontal="center" vertical="center"/>
    </xf>
    <xf numFmtId="0" fontId="55" fillId="8" borderId="5" xfId="0" applyFont="1" applyFill="1" applyBorder="1" applyAlignment="1">
      <alignment horizontal="center" vertical="center"/>
    </xf>
    <xf numFmtId="2" fontId="53" fillId="6" borderId="5" xfId="0" applyNumberFormat="1" applyFont="1" applyFill="1" applyBorder="1" applyAlignment="1">
      <alignment horizontal="center" vertical="center"/>
    </xf>
    <xf numFmtId="2" fontId="53" fillId="6" borderId="6" xfId="0" applyNumberFormat="1" applyFont="1" applyFill="1" applyBorder="1" applyAlignment="1">
      <alignment horizontal="center" vertical="center"/>
    </xf>
    <xf numFmtId="0" fontId="53" fillId="4" borderId="30" xfId="0" applyFont="1" applyFill="1" applyBorder="1"/>
    <xf numFmtId="0" fontId="53" fillId="4" borderId="27" xfId="0" applyFont="1" applyFill="1" applyBorder="1"/>
    <xf numFmtId="0" fontId="55" fillId="8" borderId="3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vertical="center"/>
    </xf>
    <xf numFmtId="2" fontId="53" fillId="8" borderId="2" xfId="0" applyNumberFormat="1" applyFont="1" applyFill="1" applyBorder="1" applyAlignment="1">
      <alignment horizontal="center" vertical="center"/>
    </xf>
    <xf numFmtId="2" fontId="53" fillId="8" borderId="10" xfId="0" applyNumberFormat="1" applyFont="1" applyFill="1" applyBorder="1" applyAlignment="1">
      <alignment horizontal="center" vertical="center"/>
    </xf>
    <xf numFmtId="0" fontId="55" fillId="8" borderId="58" xfId="0" applyFont="1" applyFill="1" applyBorder="1" applyAlignment="1">
      <alignment horizontal="center" vertical="center"/>
    </xf>
    <xf numFmtId="2" fontId="53" fillId="8" borderId="21" xfId="0" applyNumberFormat="1" applyFont="1" applyFill="1" applyBorder="1" applyAlignment="1">
      <alignment horizontal="center" vertical="center"/>
    </xf>
    <xf numFmtId="2" fontId="53" fillId="8" borderId="5" xfId="0" applyNumberFormat="1" applyFont="1" applyFill="1" applyBorder="1" applyAlignment="1">
      <alignment horizontal="center" vertical="center"/>
    </xf>
    <xf numFmtId="2" fontId="53" fillId="8" borderId="6" xfId="0" applyNumberFormat="1" applyFont="1" applyFill="1" applyBorder="1" applyAlignment="1">
      <alignment horizontal="center" vertical="center"/>
    </xf>
    <xf numFmtId="0" fontId="55" fillId="7" borderId="3" xfId="0" applyFont="1" applyFill="1" applyBorder="1" applyAlignment="1">
      <alignment horizontal="center" vertical="top" wrapText="1"/>
    </xf>
    <xf numFmtId="167" fontId="55" fillId="8" borderId="10" xfId="0" applyNumberFormat="1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 wrapText="1"/>
    </xf>
    <xf numFmtId="11" fontId="55" fillId="8" borderId="6" xfId="0" applyNumberFormat="1" applyFont="1" applyFill="1" applyBorder="1" applyAlignment="1">
      <alignment horizontal="center" vertical="center"/>
    </xf>
    <xf numFmtId="165" fontId="53" fillId="4" borderId="0" xfId="0" applyNumberFormat="1" applyFont="1" applyFill="1" applyBorder="1"/>
    <xf numFmtId="0" fontId="55" fillId="8" borderId="35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168" fontId="55" fillId="8" borderId="13" xfId="0" applyNumberFormat="1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168" fontId="55" fillId="8" borderId="63" xfId="0" applyNumberFormat="1" applyFont="1" applyFill="1" applyBorder="1" applyAlignment="1">
      <alignment horizontal="center" vertical="center"/>
    </xf>
    <xf numFmtId="0" fontId="55" fillId="8" borderId="64" xfId="0" applyFont="1" applyFill="1" applyBorder="1" applyAlignment="1">
      <alignment horizontal="center" vertical="center"/>
    </xf>
    <xf numFmtId="0" fontId="53" fillId="8" borderId="6" xfId="0" applyFont="1" applyFill="1" applyBorder="1" applyAlignment="1">
      <alignment horizontal="center" vertical="center" wrapText="1"/>
    </xf>
    <xf numFmtId="2" fontId="55" fillId="8" borderId="4" xfId="0" applyNumberFormat="1" applyFont="1" applyFill="1" applyBorder="1" applyAlignment="1">
      <alignment horizontal="center" vertical="center"/>
    </xf>
    <xf numFmtId="0" fontId="55" fillId="8" borderId="37" xfId="0" applyFont="1" applyFill="1" applyBorder="1" applyAlignment="1">
      <alignment horizontal="center" vertical="center"/>
    </xf>
    <xf numFmtId="0" fontId="53" fillId="8" borderId="47" xfId="0" applyFont="1" applyFill="1" applyBorder="1" applyAlignment="1">
      <alignment horizontal="center" wrapText="1"/>
    </xf>
    <xf numFmtId="0" fontId="53" fillId="8" borderId="20" xfId="0" applyFont="1" applyFill="1" applyBorder="1" applyAlignment="1">
      <alignment horizontal="center"/>
    </xf>
    <xf numFmtId="0" fontId="53" fillId="8" borderId="14" xfId="0" applyFont="1" applyFill="1" applyBorder="1" applyAlignment="1">
      <alignment horizontal="center" wrapText="1"/>
    </xf>
    <xf numFmtId="0" fontId="61" fillId="8" borderId="20" xfId="0" applyFont="1" applyFill="1" applyBorder="1" applyAlignment="1">
      <alignment horizontal="center" vertical="center"/>
    </xf>
    <xf numFmtId="167" fontId="53" fillId="8" borderId="38" xfId="0" applyNumberFormat="1" applyFont="1" applyFill="1" applyBorder="1" applyAlignment="1">
      <alignment horizontal="center" vertical="center"/>
    </xf>
    <xf numFmtId="0" fontId="53" fillId="8" borderId="39" xfId="0" applyFont="1" applyFill="1" applyBorder="1" applyAlignment="1">
      <alignment horizontal="center" vertical="center"/>
    </xf>
    <xf numFmtId="0" fontId="53" fillId="8" borderId="4" xfId="0" applyFont="1" applyFill="1" applyBorder="1" applyAlignment="1">
      <alignment horizontal="center" vertical="center"/>
    </xf>
    <xf numFmtId="0" fontId="53" fillId="8" borderId="39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 vertical="center"/>
    </xf>
    <xf numFmtId="0" fontId="64" fillId="8" borderId="47" xfId="0" applyFont="1" applyFill="1" applyBorder="1" applyAlignment="1">
      <alignment vertical="top" wrapText="1"/>
    </xf>
    <xf numFmtId="0" fontId="55" fillId="8" borderId="20" xfId="0" applyFont="1" applyFill="1" applyBorder="1" applyAlignment="1">
      <alignment vertical="top" wrapText="1"/>
    </xf>
    <xf numFmtId="165" fontId="55" fillId="8" borderId="14" xfId="0" applyNumberFormat="1" applyFont="1" applyFill="1" applyBorder="1" applyAlignment="1">
      <alignment horizontal="center" vertical="center"/>
    </xf>
    <xf numFmtId="0" fontId="55" fillId="8" borderId="15" xfId="0" applyFont="1" applyFill="1" applyBorder="1" applyAlignment="1">
      <alignment horizontal="center" vertical="center"/>
    </xf>
    <xf numFmtId="166" fontId="53" fillId="4" borderId="0" xfId="0" applyNumberFormat="1" applyFont="1" applyFill="1" applyBorder="1"/>
    <xf numFmtId="0" fontId="65" fillId="9" borderId="47" xfId="0" applyFont="1" applyFill="1" applyBorder="1" applyAlignment="1">
      <alignment horizontal="left" vertical="center" wrapText="1"/>
    </xf>
    <xf numFmtId="0" fontId="53" fillId="9" borderId="20" xfId="0" applyFont="1" applyFill="1" applyBorder="1" applyAlignment="1">
      <alignment horizontal="center" vertical="center"/>
    </xf>
    <xf numFmtId="0" fontId="53" fillId="9" borderId="14" xfId="0" applyFont="1" applyFill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0" fontId="65" fillId="9" borderId="47" xfId="0" applyFont="1" applyFill="1" applyBorder="1" applyAlignment="1">
      <alignment wrapText="1"/>
    </xf>
    <xf numFmtId="0" fontId="53" fillId="9" borderId="20" xfId="0" applyFont="1" applyFill="1" applyBorder="1"/>
    <xf numFmtId="2" fontId="53" fillId="9" borderId="14" xfId="0" applyNumberFormat="1" applyFont="1" applyFill="1" applyBorder="1" applyAlignment="1">
      <alignment horizontal="center" vertical="center"/>
    </xf>
    <xf numFmtId="0" fontId="64" fillId="8" borderId="47" xfId="0" applyFont="1" applyFill="1" applyBorder="1" applyAlignment="1">
      <alignment horizontal="left" vertical="center" wrapText="1"/>
    </xf>
    <xf numFmtId="0" fontId="55" fillId="8" borderId="20" xfId="0" applyFont="1" applyFill="1" applyBorder="1"/>
    <xf numFmtId="2" fontId="55" fillId="8" borderId="14" xfId="0" applyNumberFormat="1" applyFont="1" applyFill="1" applyBorder="1" applyAlignment="1">
      <alignment horizontal="center" vertical="center"/>
    </xf>
    <xf numFmtId="1" fontId="53" fillId="9" borderId="14" xfId="0" applyNumberFormat="1" applyFont="1" applyFill="1" applyBorder="1" applyAlignment="1">
      <alignment horizontal="center" vertical="center"/>
    </xf>
    <xf numFmtId="2" fontId="53" fillId="8" borderId="13" xfId="0" applyNumberFormat="1" applyFont="1" applyFill="1" applyBorder="1" applyAlignment="1">
      <alignment horizontal="center" vertical="center"/>
    </xf>
    <xf numFmtId="0" fontId="53" fillId="8" borderId="46" xfId="0" applyFont="1" applyFill="1" applyBorder="1" applyAlignment="1">
      <alignment horizontal="center" vertical="center"/>
    </xf>
    <xf numFmtId="0" fontId="64" fillId="8" borderId="38" xfId="0" applyFont="1" applyFill="1" applyBorder="1" applyAlignment="1">
      <alignment horizontal="left" vertical="center" wrapText="1"/>
    </xf>
    <xf numFmtId="0" fontId="55" fillId="8" borderId="39" xfId="0" applyFont="1" applyFill="1" applyBorder="1"/>
    <xf numFmtId="167" fontId="55" fillId="8" borderId="4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vertical="center" wrapText="1"/>
    </xf>
    <xf numFmtId="1" fontId="53" fillId="8" borderId="49" xfId="0" applyNumberFormat="1" applyFont="1" applyFill="1" applyBorder="1" applyAlignment="1">
      <alignment horizontal="center" vertical="center"/>
    </xf>
    <xf numFmtId="166" fontId="53" fillId="8" borderId="1" xfId="0" applyNumberFormat="1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vertical="center"/>
    </xf>
    <xf numFmtId="0" fontId="53" fillId="8" borderId="50" xfId="0" applyFont="1" applyFill="1" applyBorder="1" applyAlignment="1">
      <alignment horizontal="center" vertical="center"/>
    </xf>
    <xf numFmtId="0" fontId="53" fillId="8" borderId="2" xfId="0" applyFont="1" applyFill="1" applyBorder="1" applyAlignment="1">
      <alignment horizontal="center" vertical="center"/>
    </xf>
    <xf numFmtId="1" fontId="53" fillId="8" borderId="12" xfId="0" applyNumberFormat="1" applyFont="1" applyFill="1" applyBorder="1" applyAlignment="1">
      <alignment horizontal="center" vertical="center"/>
    </xf>
    <xf numFmtId="166" fontId="53" fillId="10" borderId="5" xfId="0" applyNumberFormat="1" applyFont="1" applyFill="1" applyBorder="1" applyAlignment="1">
      <alignment horizontal="center" vertical="center"/>
    </xf>
    <xf numFmtId="165" fontId="53" fillId="8" borderId="5" xfId="0" applyNumberFormat="1" applyFont="1" applyFill="1" applyBorder="1" applyAlignment="1">
      <alignment horizontal="center" vertical="center"/>
    </xf>
    <xf numFmtId="167" fontId="53" fillId="8" borderId="5" xfId="0" applyNumberFormat="1" applyFont="1" applyFill="1" applyBorder="1" applyAlignment="1">
      <alignment horizontal="center" vertical="center"/>
    </xf>
    <xf numFmtId="0" fontId="53" fillId="8" borderId="5" xfId="0" applyFont="1" applyFill="1" applyBorder="1" applyAlignment="1">
      <alignment horizontal="center" vertical="center"/>
    </xf>
    <xf numFmtId="1" fontId="53" fillId="8" borderId="5" xfId="0" applyNumberFormat="1" applyFont="1" applyFill="1" applyBorder="1" applyAlignment="1">
      <alignment horizontal="center" vertical="center"/>
    </xf>
    <xf numFmtId="0" fontId="53" fillId="8" borderId="6" xfId="0" applyFont="1" applyFill="1" applyBorder="1" applyAlignment="1">
      <alignment horizontal="center" vertical="center"/>
    </xf>
    <xf numFmtId="0" fontId="70" fillId="8" borderId="5" xfId="0" applyFont="1" applyFill="1" applyBorder="1" applyAlignment="1">
      <alignment horizontal="left" vertical="center" wrapText="1"/>
    </xf>
    <xf numFmtId="0" fontId="3" fillId="11" borderId="40" xfId="0" applyFont="1" applyFill="1" applyBorder="1" applyAlignment="1">
      <alignment horizontal="center" vertical="center" textRotation="90"/>
    </xf>
    <xf numFmtId="0" fontId="3" fillId="11" borderId="53" xfId="0" applyFont="1" applyFill="1" applyBorder="1" applyAlignment="1">
      <alignment horizontal="center" vertical="center" textRotation="90"/>
    </xf>
    <xf numFmtId="0" fontId="3" fillId="11" borderId="54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11" fillId="8" borderId="3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left" vertical="center" wrapText="1"/>
    </xf>
    <xf numFmtId="0" fontId="11" fillId="8" borderId="34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2" fontId="4" fillId="4" borderId="27" xfId="0" applyNumberFormat="1" applyFont="1" applyFill="1" applyBorder="1" applyAlignment="1" applyProtection="1">
      <alignment horizontal="center"/>
    </xf>
    <xf numFmtId="0" fontId="11" fillId="8" borderId="38" xfId="0" applyFont="1" applyFill="1" applyBorder="1" applyAlignment="1">
      <alignment horizontal="left" vertical="center" wrapText="1"/>
    </xf>
    <xf numFmtId="0" fontId="11" fillId="8" borderId="59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7" borderId="34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left" vertical="center" wrapText="1"/>
    </xf>
    <xf numFmtId="0" fontId="11" fillId="8" borderId="33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32" fillId="8" borderId="14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4" fillId="10" borderId="2" xfId="0" applyFont="1" applyFill="1" applyBorder="1" applyAlignment="1">
      <alignment horizontal="center" vertical="center"/>
    </xf>
    <xf numFmtId="0" fontId="34" fillId="10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left" wrapText="1"/>
    </xf>
    <xf numFmtId="0" fontId="4" fillId="8" borderId="42" xfId="0" applyFont="1" applyFill="1" applyBorder="1" applyAlignment="1">
      <alignment horizontal="left" wrapText="1"/>
    </xf>
    <xf numFmtId="0" fontId="11" fillId="8" borderId="39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0" fontId="11" fillId="8" borderId="10" xfId="0" applyFont="1" applyFill="1" applyBorder="1" applyAlignment="1">
      <alignment horizontal="center" wrapText="1"/>
    </xf>
    <xf numFmtId="0" fontId="28" fillId="7" borderId="48" xfId="0" applyFont="1" applyFill="1" applyBorder="1" applyAlignment="1">
      <alignment horizontal="center" vertical="center"/>
    </xf>
    <xf numFmtId="0" fontId="28" fillId="7" borderId="42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4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8" borderId="47" xfId="0" applyFont="1" applyFill="1" applyBorder="1" applyAlignment="1">
      <alignment horizontal="left" vertical="center" wrapText="1"/>
    </xf>
    <xf numFmtId="0" fontId="11" fillId="8" borderId="20" xfId="0" applyFont="1" applyFill="1" applyBorder="1" applyAlignment="1">
      <alignment horizontal="left" vertical="center" wrapText="1"/>
    </xf>
    <xf numFmtId="0" fontId="11" fillId="8" borderId="45" xfId="0" applyFont="1" applyFill="1" applyBorder="1" applyAlignment="1">
      <alignment horizontal="left" vertical="center" wrapText="1"/>
    </xf>
    <xf numFmtId="0" fontId="11" fillId="8" borderId="51" xfId="0" applyFont="1" applyFill="1" applyBorder="1" applyAlignment="1">
      <alignment horizontal="left" vertical="center" wrapText="1"/>
    </xf>
    <xf numFmtId="0" fontId="67" fillId="8" borderId="14" xfId="0" applyFont="1" applyFill="1" applyBorder="1" applyAlignment="1">
      <alignment horizontal="center" vertical="center"/>
    </xf>
    <xf numFmtId="0" fontId="67" fillId="8" borderId="20" xfId="0" applyFont="1" applyFill="1" applyBorder="1" applyAlignment="1">
      <alignment horizontal="center" vertical="center"/>
    </xf>
    <xf numFmtId="0" fontId="69" fillId="10" borderId="2" xfId="0" applyFont="1" applyFill="1" applyBorder="1" applyAlignment="1">
      <alignment horizontal="center" vertical="center"/>
    </xf>
    <xf numFmtId="0" fontId="69" fillId="10" borderId="5" xfId="0" applyFont="1" applyFill="1" applyBorder="1" applyAlignment="1">
      <alignment horizontal="center" vertical="center"/>
    </xf>
    <xf numFmtId="0" fontId="53" fillId="8" borderId="2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55" fillId="7" borderId="16" xfId="0" applyFont="1" applyFill="1" applyBorder="1" applyAlignment="1">
      <alignment horizontal="center" vertical="center"/>
    </xf>
    <xf numFmtId="0" fontId="55" fillId="7" borderId="27" xfId="0" applyFont="1" applyFill="1" applyBorder="1" applyAlignment="1">
      <alignment horizontal="center" vertical="center"/>
    </xf>
    <xf numFmtId="0" fontId="55" fillId="7" borderId="17" xfId="0" applyFont="1" applyFill="1" applyBorder="1" applyAlignment="1">
      <alignment horizontal="center" vertical="center"/>
    </xf>
    <xf numFmtId="0" fontId="53" fillId="8" borderId="2" xfId="0" applyFont="1" applyFill="1" applyBorder="1" applyAlignment="1">
      <alignment horizontal="center" wrapText="1"/>
    </xf>
    <xf numFmtId="0" fontId="55" fillId="8" borderId="2" xfId="0" applyFont="1" applyFill="1" applyBorder="1" applyAlignment="1">
      <alignment horizontal="center" wrapText="1"/>
    </xf>
    <xf numFmtId="0" fontId="55" fillId="8" borderId="10" xfId="0" applyFont="1" applyFill="1" applyBorder="1" applyAlignment="1">
      <alignment horizontal="center" wrapText="1"/>
    </xf>
    <xf numFmtId="0" fontId="54" fillId="7" borderId="16" xfId="0" applyFont="1" applyFill="1" applyBorder="1" applyAlignment="1">
      <alignment horizontal="center" vertical="center"/>
    </xf>
    <xf numFmtId="0" fontId="54" fillId="7" borderId="18" xfId="0" applyFont="1" applyFill="1" applyBorder="1" applyAlignment="1">
      <alignment horizontal="center" vertical="center"/>
    </xf>
    <xf numFmtId="0" fontId="54" fillId="7" borderId="17" xfId="0" applyFont="1" applyFill="1" applyBorder="1" applyAlignment="1">
      <alignment horizontal="center" vertical="center"/>
    </xf>
    <xf numFmtId="0" fontId="63" fillId="7" borderId="48" xfId="0" applyFont="1" applyFill="1" applyBorder="1" applyAlignment="1">
      <alignment horizontal="center" vertical="center"/>
    </xf>
    <xf numFmtId="0" fontId="63" fillId="7" borderId="42" xfId="0" applyFont="1" applyFill="1" applyBorder="1" applyAlignment="1">
      <alignment horizontal="center" vertical="center"/>
    </xf>
    <xf numFmtId="0" fontId="63" fillId="7" borderId="13" xfId="0" applyFont="1" applyFill="1" applyBorder="1" applyAlignment="1">
      <alignment horizontal="center" vertical="center"/>
    </xf>
    <xf numFmtId="0" fontId="63" fillId="7" borderId="46" xfId="0" applyFont="1" applyFill="1" applyBorder="1" applyAlignment="1">
      <alignment horizontal="center" vertical="center"/>
    </xf>
    <xf numFmtId="0" fontId="53" fillId="8" borderId="48" xfId="0" applyFont="1" applyFill="1" applyBorder="1" applyAlignment="1">
      <alignment horizontal="left" wrapText="1"/>
    </xf>
    <xf numFmtId="0" fontId="53" fillId="8" borderId="42" xfId="0" applyFont="1" applyFill="1" applyBorder="1" applyAlignment="1">
      <alignment horizontal="left" wrapText="1"/>
    </xf>
    <xf numFmtId="0" fontId="55" fillId="8" borderId="38" xfId="0" applyFont="1" applyFill="1" applyBorder="1" applyAlignment="1">
      <alignment horizontal="left" vertical="center" wrapText="1"/>
    </xf>
    <xf numFmtId="0" fontId="55" fillId="8" borderId="39" xfId="0" applyFont="1" applyFill="1" applyBorder="1" applyAlignment="1">
      <alignment horizontal="left" vertical="center" wrapText="1"/>
    </xf>
    <xf numFmtId="0" fontId="53" fillId="8" borderId="49" xfId="0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5" fillId="8" borderId="3" xfId="0" applyFont="1" applyFill="1" applyBorder="1" applyAlignment="1">
      <alignment horizontal="left" vertical="center" wrapText="1"/>
    </xf>
    <xf numFmtId="0" fontId="55" fillId="8" borderId="2" xfId="0" applyFont="1" applyFill="1" applyBorder="1" applyAlignment="1">
      <alignment horizontal="left" vertical="center" wrapText="1"/>
    </xf>
    <xf numFmtId="0" fontId="55" fillId="7" borderId="11" xfId="0" applyFont="1" applyFill="1" applyBorder="1" applyAlignment="1">
      <alignment horizontal="left" vertical="center" wrapText="1"/>
    </xf>
    <xf numFmtId="0" fontId="55" fillId="7" borderId="34" xfId="0" applyFont="1" applyFill="1" applyBorder="1" applyAlignment="1">
      <alignment horizontal="left" vertical="center" wrapText="1"/>
    </xf>
    <xf numFmtId="0" fontId="55" fillId="7" borderId="58" xfId="0" applyFont="1" applyFill="1" applyBorder="1" applyAlignment="1">
      <alignment horizontal="left" vertical="center" wrapText="1"/>
    </xf>
    <xf numFmtId="0" fontId="55" fillId="7" borderId="21" xfId="0" applyFont="1" applyFill="1" applyBorder="1" applyAlignment="1">
      <alignment horizontal="left" vertical="center" wrapText="1"/>
    </xf>
    <xf numFmtId="0" fontId="55" fillId="8" borderId="12" xfId="0" applyFont="1" applyFill="1" applyBorder="1" applyAlignment="1">
      <alignment horizontal="left" vertical="center" wrapText="1"/>
    </xf>
    <xf numFmtId="0" fontId="55" fillId="8" borderId="5" xfId="0" applyFont="1" applyFill="1" applyBorder="1" applyAlignment="1">
      <alignment horizontal="left" vertical="center" wrapText="1"/>
    </xf>
    <xf numFmtId="0" fontId="55" fillId="7" borderId="12" xfId="0" applyFont="1" applyFill="1" applyBorder="1" applyAlignment="1">
      <alignment horizontal="left" vertical="center" wrapText="1"/>
    </xf>
    <xf numFmtId="0" fontId="55" fillId="7" borderId="5" xfId="0" applyFont="1" applyFill="1" applyBorder="1" applyAlignment="1">
      <alignment horizontal="left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55" fillId="8" borderId="34" xfId="0" applyFont="1" applyFill="1" applyBorder="1" applyAlignment="1">
      <alignment horizontal="center" vertical="center" wrapText="1"/>
    </xf>
    <xf numFmtId="0" fontId="55" fillId="8" borderId="32" xfId="0" applyFont="1" applyFill="1" applyBorder="1" applyAlignment="1">
      <alignment horizontal="left" vertical="center" wrapText="1"/>
    </xf>
    <xf numFmtId="0" fontId="55" fillId="8" borderId="33" xfId="0" applyFont="1" applyFill="1" applyBorder="1" applyAlignment="1">
      <alignment horizontal="left" vertical="center" wrapText="1"/>
    </xf>
    <xf numFmtId="0" fontId="55" fillId="7" borderId="34" xfId="0" applyFont="1" applyFill="1" applyBorder="1" applyAlignment="1">
      <alignment horizontal="center" vertical="center"/>
    </xf>
    <xf numFmtId="0" fontId="55" fillId="7" borderId="35" xfId="0" applyFont="1" applyFill="1" applyBorder="1" applyAlignment="1">
      <alignment horizontal="center" vertical="center"/>
    </xf>
    <xf numFmtId="0" fontId="55" fillId="8" borderId="3" xfId="0" applyFont="1" applyFill="1" applyBorder="1" applyAlignment="1">
      <alignment horizontal="center" vertical="center"/>
    </xf>
    <xf numFmtId="0" fontId="55" fillId="8" borderId="2" xfId="0" applyFont="1" applyFill="1" applyBorder="1" applyAlignment="1">
      <alignment horizontal="center" vertical="center"/>
    </xf>
    <xf numFmtId="0" fontId="55" fillId="8" borderId="12" xfId="0" applyFont="1" applyFill="1" applyBorder="1" applyAlignment="1">
      <alignment horizontal="center" vertical="center"/>
    </xf>
    <xf numFmtId="0" fontId="55" fillId="7" borderId="11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52" fillId="7" borderId="12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0" fontId="47" fillId="8" borderId="5" xfId="0" applyFont="1" applyFill="1" applyBorder="1" applyAlignment="1">
      <alignment horizontal="left" vertical="center" wrapText="1"/>
    </xf>
    <xf numFmtId="0" fontId="47" fillId="8" borderId="3" xfId="0" applyFont="1" applyFill="1" applyBorder="1" applyAlignment="1">
      <alignment horizontal="left" vertical="center" wrapText="1"/>
    </xf>
    <xf numFmtId="0" fontId="47" fillId="8" borderId="2" xfId="0" applyFont="1" applyFill="1" applyBorder="1" applyAlignment="1">
      <alignment horizontal="left" vertical="center" wrapText="1"/>
    </xf>
    <xf numFmtId="0" fontId="47" fillId="8" borderId="12" xfId="0" applyFont="1" applyFill="1" applyBorder="1" applyAlignment="1">
      <alignment horizontal="left" vertical="center" wrapText="1"/>
    </xf>
    <xf numFmtId="0" fontId="45" fillId="7" borderId="11" xfId="0" applyFont="1" applyFill="1" applyBorder="1" applyAlignment="1">
      <alignment horizontal="center" vertical="center"/>
    </xf>
    <xf numFmtId="0" fontId="45" fillId="7" borderId="34" xfId="0" applyFont="1" applyFill="1" applyBorder="1" applyAlignment="1">
      <alignment horizontal="center" vertical="center"/>
    </xf>
    <xf numFmtId="0" fontId="45" fillId="7" borderId="35" xfId="0" applyFont="1" applyFill="1" applyBorder="1" applyAlignment="1">
      <alignment horizontal="center" vertical="center"/>
    </xf>
    <xf numFmtId="0" fontId="47" fillId="8" borderId="4" xfId="0" applyFont="1" applyFill="1" applyBorder="1" applyAlignment="1">
      <alignment horizontal="left" vertical="center" wrapText="1"/>
    </xf>
    <xf numFmtId="0" fontId="47" fillId="8" borderId="38" xfId="0" applyFont="1" applyFill="1" applyBorder="1" applyAlignment="1">
      <alignment horizontal="left" vertical="center" wrapText="1"/>
    </xf>
    <xf numFmtId="0" fontId="47" fillId="8" borderId="39" xfId="0" applyFont="1" applyFill="1" applyBorder="1" applyAlignment="1">
      <alignment horizontal="left" vertical="center" wrapText="1"/>
    </xf>
    <xf numFmtId="0" fontId="45" fillId="7" borderId="26" xfId="0" applyFont="1" applyFill="1" applyBorder="1" applyAlignment="1">
      <alignment horizontal="center" vertical="center"/>
    </xf>
    <xf numFmtId="0" fontId="45" fillId="7" borderId="27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 applyProtection="1">
      <alignment horizontal="center"/>
    </xf>
    <xf numFmtId="0" fontId="45" fillId="7" borderId="60" xfId="0" applyFont="1" applyFill="1" applyBorder="1" applyAlignment="1">
      <alignment horizontal="center" vertical="center"/>
    </xf>
    <xf numFmtId="0" fontId="45" fillId="7" borderId="61" xfId="0" applyFont="1" applyFill="1" applyBorder="1" applyAlignment="1">
      <alignment horizontal="center" vertical="center"/>
    </xf>
    <xf numFmtId="0" fontId="45" fillId="7" borderId="6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justify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justify" vertical="justify" wrapText="1"/>
    </xf>
    <xf numFmtId="0" fontId="37" fillId="0" borderId="0" xfId="0" applyFont="1" applyAlignment="1">
      <alignment horizontal="left" vertical="center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4" fontId="36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6" fillId="0" borderId="0" xfId="0" applyFont="1" applyAlignment="1">
      <alignment horizontal="left" vertical="justify" wrapText="1"/>
    </xf>
    <xf numFmtId="0" fontId="37" fillId="0" borderId="0" xfId="0" applyFont="1" applyBorder="1" applyAlignment="1">
      <alignment horizontal="left" vertical="center" wrapText="1"/>
    </xf>
    <xf numFmtId="164" fontId="36" fillId="0" borderId="0" xfId="0" applyNumberFormat="1" applyFont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2" fontId="36" fillId="0" borderId="0" xfId="0" applyNumberFormat="1" applyFont="1" applyAlignment="1">
      <alignment horizontal="left"/>
    </xf>
    <xf numFmtId="2" fontId="36" fillId="0" borderId="0" xfId="0" applyNumberFormat="1" applyFont="1" applyBorder="1" applyAlignment="1">
      <alignment horizontal="left" vertical="center" wrapText="1"/>
    </xf>
    <xf numFmtId="2" fontId="44" fillId="5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colors>
    <mruColors>
      <color rgb="FFFFF2CC"/>
      <color rgb="FFF2DCDB"/>
      <color rgb="FFDAEEF3"/>
      <color rgb="FFC6EFCE"/>
      <color rgb="FF8DB4E2"/>
      <color rgb="FF538DD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03713" y="141363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49629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2381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2381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168274</xdr:colOff>
      <xdr:row>0</xdr:row>
      <xdr:rowOff>39137</xdr:rowOff>
    </xdr:from>
    <xdr:to>
      <xdr:col>1</xdr:col>
      <xdr:colOff>635002</xdr:colOff>
      <xdr:row>0</xdr:row>
      <xdr:rowOff>563562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8274" y="39137"/>
          <a:ext cx="1228728" cy="52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7937</xdr:colOff>
      <xdr:row>20</xdr:row>
      <xdr:rowOff>16220</xdr:rowOff>
    </xdr:from>
    <xdr:to>
      <xdr:col>10</xdr:col>
      <xdr:colOff>24502</xdr:colOff>
      <xdr:row>74</xdr:row>
      <xdr:rowOff>32786</xdr:rowOff>
    </xdr:to>
    <xdr:sp macro="" textlink="">
      <xdr:nvSpPr>
        <xdr:cNvPr id="86" name="Rectángulo 85"/>
        <xdr:cNvSpPr/>
      </xdr:nvSpPr>
      <xdr:spPr>
        <a:xfrm>
          <a:off x="7937" y="7112345"/>
          <a:ext cx="8168378" cy="18645879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44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65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2" name="CuadroTexto 71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6856344" y="17899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79" name="CuadroTexto 78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0" name="CuadroTexto 79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1" name="CuadroTexto 80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2" name="CuadroTexto 81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83" name="CuadroTexto 82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84" name="CuadroTexto 83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85" name="CuadroTexto 84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53"/>
  <sheetViews>
    <sheetView topLeftCell="A25" workbookViewId="0">
      <selection activeCell="J11" sqref="J11"/>
    </sheetView>
  </sheetViews>
  <sheetFormatPr baseColWidth="10" defaultRowHeight="15" x14ac:dyDescent="0.25"/>
  <cols>
    <col min="1" max="1" width="16.5703125" bestFit="1" customWidth="1"/>
    <col min="2" max="2" width="15.140625" style="160" customWidth="1"/>
    <col min="3" max="4" width="11.42578125" style="160"/>
    <col min="5" max="5" width="12.42578125" style="160" bestFit="1" customWidth="1"/>
    <col min="6" max="6" width="11.42578125" style="160"/>
    <col min="7" max="7" width="11.7109375" style="160" customWidth="1"/>
    <col min="8" max="8" width="11.42578125" style="160"/>
    <col min="9" max="9" width="17" style="160" customWidth="1"/>
    <col min="10" max="10" width="9.28515625" style="160" bestFit="1" customWidth="1"/>
    <col min="11" max="11" width="14.42578125" style="160" customWidth="1"/>
    <col min="12" max="12" width="16.5703125" style="160" bestFit="1" customWidth="1"/>
  </cols>
  <sheetData>
    <row r="1" spans="1:13" ht="48" thickBot="1" x14ac:dyDescent="0.3">
      <c r="A1" s="162" t="s">
        <v>47</v>
      </c>
      <c r="B1" s="163" t="s">
        <v>150</v>
      </c>
      <c r="C1" s="162" t="s">
        <v>49</v>
      </c>
      <c r="D1" s="162" t="s">
        <v>24</v>
      </c>
      <c r="E1" s="162" t="s">
        <v>48</v>
      </c>
      <c r="F1" s="165" t="s">
        <v>34</v>
      </c>
      <c r="G1" s="164" t="s">
        <v>207</v>
      </c>
      <c r="H1" s="162" t="s">
        <v>147</v>
      </c>
      <c r="I1" s="164" t="s">
        <v>148</v>
      </c>
      <c r="J1" s="164" t="s">
        <v>149</v>
      </c>
      <c r="K1" s="164" t="s">
        <v>211</v>
      </c>
      <c r="L1" s="164" t="s">
        <v>212</v>
      </c>
      <c r="M1" s="160"/>
    </row>
    <row r="2" spans="1:13" x14ac:dyDescent="0.25">
      <c r="A2" s="387" t="s">
        <v>127</v>
      </c>
      <c r="B2" s="215" t="s">
        <v>151</v>
      </c>
      <c r="C2" s="216" t="s">
        <v>130</v>
      </c>
      <c r="D2" s="216" t="s">
        <v>116</v>
      </c>
      <c r="E2" s="216">
        <v>27129360</v>
      </c>
      <c r="F2" s="216">
        <v>1230</v>
      </c>
      <c r="G2" s="216">
        <v>1</v>
      </c>
      <c r="H2" s="216">
        <v>6.0000000000000001E-3</v>
      </c>
      <c r="I2" s="217">
        <v>0.01</v>
      </c>
      <c r="J2" s="216">
        <v>8000</v>
      </c>
      <c r="K2" s="216">
        <v>30</v>
      </c>
      <c r="L2" s="218"/>
      <c r="M2" s="161"/>
    </row>
    <row r="3" spans="1:13" x14ac:dyDescent="0.25">
      <c r="A3" s="388"/>
      <c r="B3" s="219" t="s">
        <v>152</v>
      </c>
      <c r="C3" s="220" t="s">
        <v>131</v>
      </c>
      <c r="D3" s="220" t="s">
        <v>116</v>
      </c>
      <c r="E3" s="221">
        <v>27129360</v>
      </c>
      <c r="F3" s="220">
        <v>1230</v>
      </c>
      <c r="G3" s="220">
        <v>2</v>
      </c>
      <c r="H3" s="220">
        <v>6.0000000000000001E-3</v>
      </c>
      <c r="I3" s="220">
        <v>1.2E-2</v>
      </c>
      <c r="J3" s="220">
        <v>8000</v>
      </c>
      <c r="K3" s="220">
        <v>30</v>
      </c>
      <c r="L3" s="222"/>
      <c r="M3" s="161"/>
    </row>
    <row r="4" spans="1:13" x14ac:dyDescent="0.25">
      <c r="A4" s="388"/>
      <c r="B4" s="219" t="s">
        <v>153</v>
      </c>
      <c r="C4" s="220" t="s">
        <v>132</v>
      </c>
      <c r="D4" s="220" t="s">
        <v>116</v>
      </c>
      <c r="E4" s="221">
        <v>27129360</v>
      </c>
      <c r="F4" s="220">
        <v>1230</v>
      </c>
      <c r="G4" s="220">
        <v>2</v>
      </c>
      <c r="H4" s="220">
        <v>1.2999999999999999E-2</v>
      </c>
      <c r="I4" s="220">
        <v>1.2E-2</v>
      </c>
      <c r="J4" s="220">
        <v>8000</v>
      </c>
      <c r="K4" s="220">
        <v>30</v>
      </c>
      <c r="L4" s="222"/>
      <c r="M4" s="161"/>
    </row>
    <row r="5" spans="1:13" x14ac:dyDescent="0.25">
      <c r="A5" s="388"/>
      <c r="B5" s="219" t="s">
        <v>154</v>
      </c>
      <c r="C5" s="220" t="s">
        <v>133</v>
      </c>
      <c r="D5" s="220" t="s">
        <v>116</v>
      </c>
      <c r="E5" s="221">
        <v>27129360</v>
      </c>
      <c r="F5" s="220">
        <v>1230</v>
      </c>
      <c r="G5" s="220">
        <v>5</v>
      </c>
      <c r="H5" s="220">
        <v>2E-3</v>
      </c>
      <c r="I5" s="220">
        <v>1.6E-2</v>
      </c>
      <c r="J5" s="220">
        <v>8000</v>
      </c>
      <c r="K5" s="220">
        <v>30</v>
      </c>
      <c r="L5" s="222"/>
      <c r="M5" s="161"/>
    </row>
    <row r="6" spans="1:13" x14ac:dyDescent="0.25">
      <c r="A6" s="388"/>
      <c r="B6" s="219" t="s">
        <v>155</v>
      </c>
      <c r="C6" s="220" t="s">
        <v>134</v>
      </c>
      <c r="D6" s="220" t="s">
        <v>116</v>
      </c>
      <c r="E6" s="221">
        <v>27129360</v>
      </c>
      <c r="F6" s="220">
        <v>1230</v>
      </c>
      <c r="G6" s="220">
        <v>10</v>
      </c>
      <c r="H6" s="220">
        <v>4.0000000000000001E-3</v>
      </c>
      <c r="I6" s="220">
        <v>0.02</v>
      </c>
      <c r="J6" s="220">
        <v>8000</v>
      </c>
      <c r="K6" s="220">
        <v>30</v>
      </c>
      <c r="L6" s="222"/>
      <c r="M6" s="161"/>
    </row>
    <row r="7" spans="1:13" x14ac:dyDescent="0.25">
      <c r="A7" s="388"/>
      <c r="B7" s="219" t="s">
        <v>156</v>
      </c>
      <c r="C7" s="220" t="s">
        <v>135</v>
      </c>
      <c r="D7" s="220" t="s">
        <v>116</v>
      </c>
      <c r="E7" s="221">
        <v>27129360</v>
      </c>
      <c r="F7" s="220">
        <v>1230</v>
      </c>
      <c r="G7" s="220">
        <v>20</v>
      </c>
      <c r="H7" s="220">
        <v>2.7E-2</v>
      </c>
      <c r="I7" s="220">
        <v>2.5000000000000001E-2</v>
      </c>
      <c r="J7" s="220">
        <v>8000</v>
      </c>
      <c r="K7" s="220">
        <v>30</v>
      </c>
      <c r="L7" s="222"/>
      <c r="M7" s="161"/>
    </row>
    <row r="8" spans="1:13" x14ac:dyDescent="0.25">
      <c r="A8" s="388"/>
      <c r="B8" s="219" t="s">
        <v>157</v>
      </c>
      <c r="C8" s="220" t="s">
        <v>136</v>
      </c>
      <c r="D8" s="220" t="s">
        <v>116</v>
      </c>
      <c r="E8" s="221">
        <v>27129360</v>
      </c>
      <c r="F8" s="220">
        <v>1230</v>
      </c>
      <c r="G8" s="220">
        <v>20</v>
      </c>
      <c r="H8" s="220">
        <v>7.0000000000000001E-3</v>
      </c>
      <c r="I8" s="220">
        <v>2.5000000000000001E-2</v>
      </c>
      <c r="J8" s="220">
        <v>8000</v>
      </c>
      <c r="K8" s="220">
        <v>30</v>
      </c>
      <c r="L8" s="222"/>
      <c r="M8" s="161"/>
    </row>
    <row r="9" spans="1:13" x14ac:dyDescent="0.25">
      <c r="A9" s="388"/>
      <c r="B9" s="219" t="s">
        <v>158</v>
      </c>
      <c r="C9" s="220" t="s">
        <v>137</v>
      </c>
      <c r="D9" s="220" t="s">
        <v>116</v>
      </c>
      <c r="E9" s="221">
        <v>27129360</v>
      </c>
      <c r="F9" s="220">
        <v>1230</v>
      </c>
      <c r="G9" s="220">
        <v>50</v>
      </c>
      <c r="H9" s="220">
        <v>0.03</v>
      </c>
      <c r="I9" s="220">
        <v>0.03</v>
      </c>
      <c r="J9" s="220">
        <v>8000</v>
      </c>
      <c r="K9" s="220">
        <v>30</v>
      </c>
      <c r="L9" s="222"/>
      <c r="M9" s="161"/>
    </row>
    <row r="10" spans="1:13" x14ac:dyDescent="0.25">
      <c r="A10" s="388"/>
      <c r="B10" s="219" t="s">
        <v>159</v>
      </c>
      <c r="C10" s="220" t="s">
        <v>138</v>
      </c>
      <c r="D10" s="220" t="s">
        <v>116</v>
      </c>
      <c r="E10" s="221">
        <v>27129360</v>
      </c>
      <c r="F10" s="220">
        <v>1230</v>
      </c>
      <c r="G10" s="220">
        <v>100</v>
      </c>
      <c r="H10" s="220">
        <v>0.06</v>
      </c>
      <c r="I10" s="220">
        <v>0.05</v>
      </c>
      <c r="J10" s="220">
        <v>8000</v>
      </c>
      <c r="K10" s="220">
        <v>30</v>
      </c>
      <c r="L10" s="222"/>
      <c r="M10" s="161"/>
    </row>
    <row r="11" spans="1:13" x14ac:dyDescent="0.25">
      <c r="A11" s="388"/>
      <c r="B11" s="219" t="s">
        <v>160</v>
      </c>
      <c r="C11" s="220" t="s">
        <v>139</v>
      </c>
      <c r="D11" s="220" t="s">
        <v>116</v>
      </c>
      <c r="E11" s="221">
        <v>27129360</v>
      </c>
      <c r="F11" s="220">
        <v>1230</v>
      </c>
      <c r="G11" s="220">
        <v>200</v>
      </c>
      <c r="H11" s="220">
        <v>0.06</v>
      </c>
      <c r="I11" s="220">
        <v>0.1</v>
      </c>
      <c r="J11" s="220">
        <v>8000</v>
      </c>
      <c r="K11" s="220">
        <v>30</v>
      </c>
      <c r="L11" s="222"/>
      <c r="M11" s="161"/>
    </row>
    <row r="12" spans="1:13" x14ac:dyDescent="0.25">
      <c r="A12" s="388"/>
      <c r="B12" s="219" t="s">
        <v>161</v>
      </c>
      <c r="C12" s="220" t="s">
        <v>140</v>
      </c>
      <c r="D12" s="220" t="s">
        <v>116</v>
      </c>
      <c r="E12" s="221">
        <v>27129360</v>
      </c>
      <c r="F12" s="220">
        <v>1230</v>
      </c>
      <c r="G12" s="220">
        <v>200</v>
      </c>
      <c r="H12" s="220">
        <v>0.16</v>
      </c>
      <c r="I12" s="220">
        <v>0.1</v>
      </c>
      <c r="J12" s="220">
        <v>8000</v>
      </c>
      <c r="K12" s="220">
        <v>30</v>
      </c>
      <c r="L12" s="222"/>
      <c r="M12" s="161"/>
    </row>
    <row r="13" spans="1:13" x14ac:dyDescent="0.25">
      <c r="A13" s="388"/>
      <c r="B13" s="219" t="s">
        <v>162</v>
      </c>
      <c r="C13" s="220" t="s">
        <v>141</v>
      </c>
      <c r="D13" s="220" t="s">
        <v>116</v>
      </c>
      <c r="E13" s="221">
        <v>27129360</v>
      </c>
      <c r="F13" s="220">
        <v>1230</v>
      </c>
      <c r="G13" s="220">
        <v>500</v>
      </c>
      <c r="H13" s="220">
        <v>0.35</v>
      </c>
      <c r="I13" s="220">
        <v>0.25</v>
      </c>
      <c r="J13" s="220">
        <v>8000</v>
      </c>
      <c r="K13" s="220">
        <v>30</v>
      </c>
      <c r="L13" s="222"/>
      <c r="M13" s="161"/>
    </row>
    <row r="14" spans="1:13" x14ac:dyDescent="0.25">
      <c r="A14" s="388"/>
      <c r="B14" s="219" t="s">
        <v>163</v>
      </c>
      <c r="C14" s="220" t="s">
        <v>142</v>
      </c>
      <c r="D14" s="220" t="s">
        <v>116</v>
      </c>
      <c r="E14" s="221">
        <v>27129360</v>
      </c>
      <c r="F14" s="220">
        <v>1230</v>
      </c>
      <c r="G14" s="220">
        <v>1000</v>
      </c>
      <c r="H14" s="220">
        <v>0.7</v>
      </c>
      <c r="I14" s="220">
        <v>0.5</v>
      </c>
      <c r="J14" s="220">
        <v>8000</v>
      </c>
      <c r="K14" s="220">
        <v>30</v>
      </c>
      <c r="L14" s="222"/>
      <c r="M14" s="161"/>
    </row>
    <row r="15" spans="1:13" x14ac:dyDescent="0.25">
      <c r="A15" s="388"/>
      <c r="B15" s="219" t="s">
        <v>164</v>
      </c>
      <c r="C15" s="220" t="s">
        <v>143</v>
      </c>
      <c r="D15" s="220" t="s">
        <v>116</v>
      </c>
      <c r="E15" s="221">
        <v>27129360</v>
      </c>
      <c r="F15" s="220">
        <v>1230</v>
      </c>
      <c r="G15" s="220">
        <v>2000</v>
      </c>
      <c r="H15" s="220">
        <v>1.2</v>
      </c>
      <c r="I15" s="223">
        <v>1</v>
      </c>
      <c r="J15" s="220">
        <v>8000</v>
      </c>
      <c r="K15" s="220">
        <v>30</v>
      </c>
      <c r="L15" s="222"/>
      <c r="M15" s="161"/>
    </row>
    <row r="16" spans="1:13" x14ac:dyDescent="0.25">
      <c r="A16" s="388"/>
      <c r="B16" s="219" t="s">
        <v>165</v>
      </c>
      <c r="C16" s="220" t="s">
        <v>144</v>
      </c>
      <c r="D16" s="220" t="s">
        <v>116</v>
      </c>
      <c r="E16" s="221">
        <v>27129360</v>
      </c>
      <c r="F16" s="220">
        <v>1230</v>
      </c>
      <c r="G16" s="220">
        <v>2000</v>
      </c>
      <c r="H16" s="220">
        <v>1.1000000000000001</v>
      </c>
      <c r="I16" s="223">
        <v>1</v>
      </c>
      <c r="J16" s="220">
        <v>8000</v>
      </c>
      <c r="K16" s="220">
        <v>30</v>
      </c>
      <c r="L16" s="222"/>
      <c r="M16" s="161"/>
    </row>
    <row r="17" spans="1:13" x14ac:dyDescent="0.25">
      <c r="A17" s="388"/>
      <c r="B17" s="219" t="s">
        <v>166</v>
      </c>
      <c r="C17" s="220" t="s">
        <v>145</v>
      </c>
      <c r="D17" s="220" t="s">
        <v>116</v>
      </c>
      <c r="E17" s="221">
        <v>27129360</v>
      </c>
      <c r="F17" s="220">
        <v>1230</v>
      </c>
      <c r="G17" s="220">
        <v>5000</v>
      </c>
      <c r="H17" s="220">
        <v>3.7</v>
      </c>
      <c r="I17" s="220">
        <v>2.5</v>
      </c>
      <c r="J17" s="220">
        <v>8000</v>
      </c>
      <c r="K17" s="220">
        <v>30</v>
      </c>
      <c r="L17" s="222"/>
      <c r="M17" s="161"/>
    </row>
    <row r="18" spans="1:13" ht="15.75" thickBot="1" x14ac:dyDescent="0.3">
      <c r="A18" s="389"/>
      <c r="B18" s="224" t="s">
        <v>167</v>
      </c>
      <c r="C18" s="225" t="s">
        <v>146</v>
      </c>
      <c r="D18" s="225" t="s">
        <v>116</v>
      </c>
      <c r="E18" s="226">
        <v>27129360</v>
      </c>
      <c r="F18" s="225">
        <v>1230</v>
      </c>
      <c r="G18" s="225">
        <v>10000</v>
      </c>
      <c r="H18" s="225">
        <v>8.6999999999999993</v>
      </c>
      <c r="I18" s="227">
        <v>5</v>
      </c>
      <c r="J18" s="225">
        <v>8000</v>
      </c>
      <c r="K18" s="225">
        <v>30</v>
      </c>
      <c r="L18" s="228"/>
      <c r="M18" s="161"/>
    </row>
    <row r="19" spans="1:13" ht="15" customHeight="1" x14ac:dyDescent="0.25">
      <c r="A19" s="387" t="s">
        <v>128</v>
      </c>
      <c r="B19" s="215" t="s">
        <v>170</v>
      </c>
      <c r="C19" s="216">
        <v>1</v>
      </c>
      <c r="D19" s="216" t="s">
        <v>168</v>
      </c>
      <c r="E19" s="216">
        <v>11119515</v>
      </c>
      <c r="F19" s="216">
        <v>100405</v>
      </c>
      <c r="G19" s="216">
        <v>1</v>
      </c>
      <c r="H19" s="216">
        <v>0.04</v>
      </c>
      <c r="I19" s="216">
        <v>0.03</v>
      </c>
      <c r="J19" s="216">
        <v>7950</v>
      </c>
      <c r="K19" s="216">
        <v>140</v>
      </c>
      <c r="L19" s="218"/>
      <c r="M19" s="161"/>
    </row>
    <row r="20" spans="1:13" x14ac:dyDescent="0.25">
      <c r="A20" s="388"/>
      <c r="B20" s="219" t="s">
        <v>171</v>
      </c>
      <c r="C20" s="220">
        <v>2</v>
      </c>
      <c r="D20" s="220" t="s">
        <v>168</v>
      </c>
      <c r="E20" s="220">
        <v>11119515</v>
      </c>
      <c r="F20" s="220">
        <v>100405</v>
      </c>
      <c r="G20" s="220">
        <v>2</v>
      </c>
      <c r="H20" s="220">
        <v>0.04</v>
      </c>
      <c r="I20" s="220">
        <v>0.04</v>
      </c>
      <c r="J20" s="220">
        <v>7950</v>
      </c>
      <c r="K20" s="220">
        <v>140</v>
      </c>
      <c r="L20" s="222"/>
      <c r="M20" s="161"/>
    </row>
    <row r="21" spans="1:13" x14ac:dyDescent="0.25">
      <c r="A21" s="388"/>
      <c r="B21" s="219" t="s">
        <v>183</v>
      </c>
      <c r="C21" s="220" t="s">
        <v>204</v>
      </c>
      <c r="D21" s="220" t="s">
        <v>168</v>
      </c>
      <c r="E21" s="220">
        <v>11119515</v>
      </c>
      <c r="F21" s="220">
        <v>100405</v>
      </c>
      <c r="G21" s="220">
        <v>2</v>
      </c>
      <c r="H21" s="220">
        <v>0.06</v>
      </c>
      <c r="I21" s="220">
        <v>0.04</v>
      </c>
      <c r="J21" s="220">
        <v>7950</v>
      </c>
      <c r="K21" s="220">
        <v>140</v>
      </c>
      <c r="L21" s="222"/>
      <c r="M21" s="161"/>
    </row>
    <row r="22" spans="1:13" x14ac:dyDescent="0.25">
      <c r="A22" s="388"/>
      <c r="B22" s="219" t="s">
        <v>172</v>
      </c>
      <c r="C22" s="220">
        <v>5</v>
      </c>
      <c r="D22" s="220" t="s">
        <v>168</v>
      </c>
      <c r="E22" s="220">
        <v>11119515</v>
      </c>
      <c r="F22" s="220">
        <v>100405</v>
      </c>
      <c r="G22" s="220">
        <v>5</v>
      </c>
      <c r="H22" s="229">
        <v>0</v>
      </c>
      <c r="I22" s="220">
        <v>0.05</v>
      </c>
      <c r="J22" s="220">
        <v>7950</v>
      </c>
      <c r="K22" s="220">
        <v>140</v>
      </c>
      <c r="L22" s="222"/>
      <c r="M22" s="161"/>
    </row>
    <row r="23" spans="1:13" x14ac:dyDescent="0.25">
      <c r="A23" s="388"/>
      <c r="B23" s="219" t="s">
        <v>173</v>
      </c>
      <c r="C23" s="220">
        <v>10</v>
      </c>
      <c r="D23" s="220" t="s">
        <v>168</v>
      </c>
      <c r="E23" s="220">
        <v>11119515</v>
      </c>
      <c r="F23" s="220">
        <v>100405</v>
      </c>
      <c r="G23" s="220">
        <v>10</v>
      </c>
      <c r="H23" s="220">
        <v>0.05</v>
      </c>
      <c r="I23" s="220">
        <v>0.06</v>
      </c>
      <c r="J23" s="220">
        <v>7950</v>
      </c>
      <c r="K23" s="220">
        <v>140</v>
      </c>
      <c r="L23" s="222"/>
      <c r="M23" s="161"/>
    </row>
    <row r="24" spans="1:13" x14ac:dyDescent="0.25">
      <c r="A24" s="388"/>
      <c r="B24" s="219" t="s">
        <v>174</v>
      </c>
      <c r="C24" s="220">
        <v>20</v>
      </c>
      <c r="D24" s="220" t="s">
        <v>168</v>
      </c>
      <c r="E24" s="220">
        <v>11119515</v>
      </c>
      <c r="F24" s="220">
        <v>100405</v>
      </c>
      <c r="G24" s="220">
        <v>20</v>
      </c>
      <c r="H24" s="220">
        <v>0.08</v>
      </c>
      <c r="I24" s="220">
        <v>0.08</v>
      </c>
      <c r="J24" s="220">
        <v>7950</v>
      </c>
      <c r="K24" s="220">
        <v>140</v>
      </c>
      <c r="L24" s="222"/>
      <c r="M24" s="161"/>
    </row>
    <row r="25" spans="1:13" x14ac:dyDescent="0.25">
      <c r="A25" s="388"/>
      <c r="B25" s="219" t="s">
        <v>184</v>
      </c>
      <c r="C25" s="220" t="s">
        <v>206</v>
      </c>
      <c r="D25" s="220" t="s">
        <v>168</v>
      </c>
      <c r="E25" s="220">
        <v>11119515</v>
      </c>
      <c r="F25" s="220">
        <v>100405</v>
      </c>
      <c r="G25" s="220">
        <v>20</v>
      </c>
      <c r="H25" s="220">
        <v>7.0000000000000007E-2</v>
      </c>
      <c r="I25" s="220">
        <v>0.08</v>
      </c>
      <c r="J25" s="220">
        <v>7950</v>
      </c>
      <c r="K25" s="220">
        <v>140</v>
      </c>
      <c r="L25" s="222"/>
      <c r="M25" s="161"/>
    </row>
    <row r="26" spans="1:13" x14ac:dyDescent="0.25">
      <c r="A26" s="388"/>
      <c r="B26" s="219" t="s">
        <v>175</v>
      </c>
      <c r="C26" s="220">
        <v>50</v>
      </c>
      <c r="D26" s="220" t="s">
        <v>168</v>
      </c>
      <c r="E26" s="220">
        <v>11119515</v>
      </c>
      <c r="F26" s="220">
        <v>100405</v>
      </c>
      <c r="G26" s="220">
        <v>50</v>
      </c>
      <c r="H26" s="220">
        <v>0.19</v>
      </c>
      <c r="I26" s="229">
        <v>0.1</v>
      </c>
      <c r="J26" s="220">
        <v>7950</v>
      </c>
      <c r="K26" s="220">
        <v>140</v>
      </c>
      <c r="L26" s="222"/>
      <c r="M26" s="161"/>
    </row>
    <row r="27" spans="1:13" x14ac:dyDescent="0.25">
      <c r="A27" s="388"/>
      <c r="B27" s="219" t="s">
        <v>176</v>
      </c>
      <c r="C27" s="220">
        <v>100</v>
      </c>
      <c r="D27" s="220" t="s">
        <v>168</v>
      </c>
      <c r="E27" s="220">
        <v>11119515</v>
      </c>
      <c r="F27" s="220">
        <v>100405</v>
      </c>
      <c r="G27" s="220">
        <v>100</v>
      </c>
      <c r="H27" s="220">
        <v>0.13</v>
      </c>
      <c r="I27" s="220">
        <v>0.16</v>
      </c>
      <c r="J27" s="220">
        <v>7950</v>
      </c>
      <c r="K27" s="220">
        <v>140</v>
      </c>
      <c r="L27" s="222"/>
      <c r="M27" s="161"/>
    </row>
    <row r="28" spans="1:13" x14ac:dyDescent="0.25">
      <c r="A28" s="388"/>
      <c r="B28" s="219" t="s">
        <v>177</v>
      </c>
      <c r="C28" s="220">
        <v>200</v>
      </c>
      <c r="D28" s="220" t="s">
        <v>168</v>
      </c>
      <c r="E28" s="220">
        <v>11119515</v>
      </c>
      <c r="F28" s="220">
        <v>100405</v>
      </c>
      <c r="G28" s="220">
        <v>200</v>
      </c>
      <c r="H28" s="220">
        <v>0.3</v>
      </c>
      <c r="I28" s="220">
        <v>0.3</v>
      </c>
      <c r="J28" s="220">
        <v>7950</v>
      </c>
      <c r="K28" s="220">
        <v>140</v>
      </c>
      <c r="L28" s="222"/>
      <c r="M28" s="161"/>
    </row>
    <row r="29" spans="1:13" x14ac:dyDescent="0.25">
      <c r="A29" s="388"/>
      <c r="B29" s="219" t="s">
        <v>185</v>
      </c>
      <c r="C29" s="220" t="s">
        <v>205</v>
      </c>
      <c r="D29" s="220" t="s">
        <v>168</v>
      </c>
      <c r="E29" s="220">
        <v>11119515</v>
      </c>
      <c r="F29" s="220">
        <v>100405</v>
      </c>
      <c r="G29" s="220">
        <v>200</v>
      </c>
      <c r="H29" s="220">
        <v>0.2</v>
      </c>
      <c r="I29" s="220">
        <v>0.3</v>
      </c>
      <c r="J29" s="220">
        <v>7950</v>
      </c>
      <c r="K29" s="220">
        <v>140</v>
      </c>
      <c r="L29" s="222"/>
      <c r="M29" s="161"/>
    </row>
    <row r="30" spans="1:13" x14ac:dyDescent="0.25">
      <c r="A30" s="388"/>
      <c r="B30" s="219" t="s">
        <v>178</v>
      </c>
      <c r="C30" s="220">
        <v>500</v>
      </c>
      <c r="D30" s="220" t="s">
        <v>168</v>
      </c>
      <c r="E30" s="220">
        <v>11119515</v>
      </c>
      <c r="F30" s="220">
        <v>100405</v>
      </c>
      <c r="G30" s="220">
        <v>500</v>
      </c>
      <c r="H30" s="220">
        <v>0.8</v>
      </c>
      <c r="I30" s="220">
        <v>0.8</v>
      </c>
      <c r="J30" s="220">
        <v>7950</v>
      </c>
      <c r="K30" s="220">
        <v>140</v>
      </c>
      <c r="L30" s="222"/>
      <c r="M30" s="161"/>
    </row>
    <row r="31" spans="1:13" x14ac:dyDescent="0.25">
      <c r="A31" s="388"/>
      <c r="B31" s="219" t="s">
        <v>179</v>
      </c>
      <c r="C31" s="220">
        <v>1</v>
      </c>
      <c r="D31" s="220" t="s">
        <v>168</v>
      </c>
      <c r="E31" s="220">
        <v>11119515</v>
      </c>
      <c r="F31" s="220">
        <v>100405</v>
      </c>
      <c r="G31" s="220">
        <v>1000</v>
      </c>
      <c r="H31" s="220">
        <v>1.9</v>
      </c>
      <c r="I31" s="220">
        <v>1.6</v>
      </c>
      <c r="J31" s="220">
        <v>7950</v>
      </c>
      <c r="K31" s="220">
        <v>140</v>
      </c>
      <c r="L31" s="222"/>
      <c r="M31" s="161"/>
    </row>
    <row r="32" spans="1:13" x14ac:dyDescent="0.25">
      <c r="A32" s="388"/>
      <c r="B32" s="219" t="s">
        <v>180</v>
      </c>
      <c r="C32" s="220">
        <v>2</v>
      </c>
      <c r="D32" s="220" t="s">
        <v>168</v>
      </c>
      <c r="E32" s="220">
        <v>11119515</v>
      </c>
      <c r="F32" s="220">
        <v>100405</v>
      </c>
      <c r="G32" s="220">
        <v>2000</v>
      </c>
      <c r="H32" s="223">
        <v>2</v>
      </c>
      <c r="I32" s="223">
        <v>3</v>
      </c>
      <c r="J32" s="220">
        <v>7950</v>
      </c>
      <c r="K32" s="220">
        <v>140</v>
      </c>
      <c r="L32" s="222"/>
      <c r="M32" s="161"/>
    </row>
    <row r="33" spans="1:13" x14ac:dyDescent="0.25">
      <c r="A33" s="388"/>
      <c r="B33" s="219" t="s">
        <v>186</v>
      </c>
      <c r="C33" s="220" t="s">
        <v>204</v>
      </c>
      <c r="D33" s="220" t="s">
        <v>168</v>
      </c>
      <c r="E33" s="220">
        <v>11119515</v>
      </c>
      <c r="F33" s="220">
        <v>100405</v>
      </c>
      <c r="G33" s="220">
        <v>2000</v>
      </c>
      <c r="H33" s="220">
        <v>2.2000000000000002</v>
      </c>
      <c r="I33" s="223">
        <v>3</v>
      </c>
      <c r="J33" s="220">
        <v>7950</v>
      </c>
      <c r="K33" s="220">
        <v>140</v>
      </c>
      <c r="L33" s="222"/>
      <c r="M33" s="161"/>
    </row>
    <row r="34" spans="1:13" ht="15.75" thickBot="1" x14ac:dyDescent="0.3">
      <c r="A34" s="388"/>
      <c r="B34" s="224" t="s">
        <v>181</v>
      </c>
      <c r="C34" s="225">
        <v>5</v>
      </c>
      <c r="D34" s="225" t="s">
        <v>168</v>
      </c>
      <c r="E34" s="225">
        <v>11119515</v>
      </c>
      <c r="F34" s="225">
        <v>100405</v>
      </c>
      <c r="G34" s="225">
        <v>5000</v>
      </c>
      <c r="H34" s="225">
        <v>5.9</v>
      </c>
      <c r="I34" s="227">
        <v>8</v>
      </c>
      <c r="J34" s="225">
        <v>7950</v>
      </c>
      <c r="K34" s="225">
        <v>140</v>
      </c>
      <c r="L34" s="228"/>
      <c r="M34" s="161"/>
    </row>
    <row r="35" spans="1:13" ht="15.75" thickBot="1" x14ac:dyDescent="0.3">
      <c r="A35" s="390"/>
      <c r="B35" s="230" t="s">
        <v>182</v>
      </c>
      <c r="C35" s="216">
        <v>10</v>
      </c>
      <c r="D35" s="216" t="s">
        <v>168</v>
      </c>
      <c r="E35" s="216"/>
      <c r="F35" s="216"/>
      <c r="G35" s="216"/>
      <c r="H35" s="216"/>
      <c r="I35" s="216"/>
      <c r="J35" s="216"/>
      <c r="K35" s="216"/>
      <c r="L35" s="218"/>
      <c r="M35" s="161"/>
    </row>
    <row r="36" spans="1:13" ht="15" customHeight="1" thickBot="1" x14ac:dyDescent="0.3">
      <c r="A36" s="391"/>
      <c r="B36" s="231" t="s">
        <v>203</v>
      </c>
      <c r="C36" s="225">
        <v>20</v>
      </c>
      <c r="D36" s="225" t="s">
        <v>168</v>
      </c>
      <c r="E36" s="225"/>
      <c r="F36" s="225"/>
      <c r="G36" s="225"/>
      <c r="H36" s="225"/>
      <c r="I36" s="225"/>
      <c r="J36" s="225"/>
      <c r="K36" s="225"/>
      <c r="L36" s="228"/>
      <c r="M36" s="161"/>
    </row>
    <row r="37" spans="1:13" ht="19.5" customHeight="1" x14ac:dyDescent="0.25">
      <c r="A37" s="387" t="s">
        <v>129</v>
      </c>
      <c r="B37" s="232" t="s">
        <v>187</v>
      </c>
      <c r="C37" s="221" t="s">
        <v>208</v>
      </c>
      <c r="D37" s="221" t="s">
        <v>169</v>
      </c>
      <c r="E37" s="221" t="s">
        <v>213</v>
      </c>
      <c r="F37" s="221" t="s">
        <v>210</v>
      </c>
      <c r="G37" s="221">
        <v>1</v>
      </c>
      <c r="H37" s="221">
        <v>0.04</v>
      </c>
      <c r="I37" s="221">
        <v>3.3000000000000002E-2</v>
      </c>
      <c r="J37" s="221">
        <v>7950</v>
      </c>
      <c r="K37" s="221">
        <v>140</v>
      </c>
      <c r="L37" s="233">
        <v>0.88229999999999997</v>
      </c>
      <c r="M37" s="161"/>
    </row>
    <row r="38" spans="1:13" x14ac:dyDescent="0.25">
      <c r="A38" s="388"/>
      <c r="B38" s="219" t="s">
        <v>188</v>
      </c>
      <c r="C38" s="220" t="s">
        <v>208</v>
      </c>
      <c r="D38" s="220" t="s">
        <v>169</v>
      </c>
      <c r="E38" s="220" t="s">
        <v>213</v>
      </c>
      <c r="F38" s="220" t="s">
        <v>210</v>
      </c>
      <c r="G38" s="220">
        <v>2</v>
      </c>
      <c r="H38" s="220">
        <v>0.04</v>
      </c>
      <c r="I38" s="220">
        <v>0.04</v>
      </c>
      <c r="J38" s="220">
        <v>7950</v>
      </c>
      <c r="K38" s="220">
        <v>140</v>
      </c>
      <c r="L38" s="222">
        <v>0.88200000000000001</v>
      </c>
      <c r="M38" s="161"/>
    </row>
    <row r="39" spans="1:13" x14ac:dyDescent="0.25">
      <c r="A39" s="388"/>
      <c r="B39" s="219" t="s">
        <v>202</v>
      </c>
      <c r="C39" s="220" t="s">
        <v>209</v>
      </c>
      <c r="D39" s="220" t="s">
        <v>169</v>
      </c>
      <c r="E39" s="220" t="s">
        <v>213</v>
      </c>
      <c r="F39" s="220" t="s">
        <v>210</v>
      </c>
      <c r="G39" s="220">
        <v>2</v>
      </c>
      <c r="H39" s="220">
        <v>5.3999999999999999E-2</v>
      </c>
      <c r="I39" s="220">
        <v>0.04</v>
      </c>
      <c r="J39" s="220">
        <v>7950</v>
      </c>
      <c r="K39" s="220">
        <v>140</v>
      </c>
      <c r="L39" s="222">
        <v>0.88190000000000002</v>
      </c>
      <c r="M39" s="161"/>
    </row>
    <row r="40" spans="1:13" x14ac:dyDescent="0.25">
      <c r="A40" s="388"/>
      <c r="B40" s="219" t="s">
        <v>189</v>
      </c>
      <c r="C40" s="220" t="s">
        <v>208</v>
      </c>
      <c r="D40" s="220" t="s">
        <v>169</v>
      </c>
      <c r="E40" s="220" t="s">
        <v>213</v>
      </c>
      <c r="F40" s="220" t="s">
        <v>210</v>
      </c>
      <c r="G40" s="220">
        <v>5</v>
      </c>
      <c r="H40" s="220">
        <v>8.7999999999999995E-2</v>
      </c>
      <c r="I40" s="220">
        <v>5.2999999999999999E-2</v>
      </c>
      <c r="J40" s="220">
        <v>7840</v>
      </c>
      <c r="K40" s="220">
        <v>140</v>
      </c>
      <c r="L40" s="222">
        <v>0.88200000000000001</v>
      </c>
      <c r="M40" s="161"/>
    </row>
    <row r="41" spans="1:13" x14ac:dyDescent="0.25">
      <c r="A41" s="388"/>
      <c r="B41" s="219" t="s">
        <v>190</v>
      </c>
      <c r="C41" s="220" t="s">
        <v>208</v>
      </c>
      <c r="D41" s="220" t="s">
        <v>169</v>
      </c>
      <c r="E41" s="220" t="s">
        <v>213</v>
      </c>
      <c r="F41" s="220" t="s">
        <v>210</v>
      </c>
      <c r="G41" s="220">
        <v>10</v>
      </c>
      <c r="H41" s="220">
        <v>8.7999999999999995E-2</v>
      </c>
      <c r="I41" s="220">
        <v>6.7000000000000004E-2</v>
      </c>
      <c r="J41" s="220">
        <v>7840</v>
      </c>
      <c r="K41" s="220">
        <v>140</v>
      </c>
      <c r="L41" s="222">
        <v>0.8821</v>
      </c>
      <c r="M41" s="161"/>
    </row>
    <row r="42" spans="1:13" x14ac:dyDescent="0.25">
      <c r="A42" s="388"/>
      <c r="B42" s="219" t="s">
        <v>191</v>
      </c>
      <c r="C42" s="220" t="s">
        <v>208</v>
      </c>
      <c r="D42" s="220" t="s">
        <v>169</v>
      </c>
      <c r="E42" s="220" t="s">
        <v>213</v>
      </c>
      <c r="F42" s="220" t="s">
        <v>210</v>
      </c>
      <c r="G42" s="220">
        <v>20</v>
      </c>
      <c r="H42" s="220">
        <v>9.2999999999999999E-2</v>
      </c>
      <c r="I42" s="220">
        <v>8.3000000000000004E-2</v>
      </c>
      <c r="J42" s="220">
        <v>7840</v>
      </c>
      <c r="K42" s="220">
        <v>140</v>
      </c>
      <c r="L42" s="222">
        <v>0.88229999999999997</v>
      </c>
      <c r="M42" s="161"/>
    </row>
    <row r="43" spans="1:13" x14ac:dyDescent="0.25">
      <c r="A43" s="388"/>
      <c r="B43" s="219" t="s">
        <v>201</v>
      </c>
      <c r="C43" s="220" t="s">
        <v>209</v>
      </c>
      <c r="D43" s="220" t="s">
        <v>169</v>
      </c>
      <c r="E43" s="220" t="s">
        <v>213</v>
      </c>
      <c r="F43" s="220" t="s">
        <v>210</v>
      </c>
      <c r="G43" s="220">
        <v>20</v>
      </c>
      <c r="H43" s="220">
        <v>9.0999999999999998E-2</v>
      </c>
      <c r="I43" s="220">
        <v>8.3000000000000004E-2</v>
      </c>
      <c r="J43" s="220">
        <v>7840</v>
      </c>
      <c r="K43" s="220">
        <v>140</v>
      </c>
      <c r="L43" s="222">
        <v>0.88239999999999996</v>
      </c>
      <c r="M43" s="161"/>
    </row>
    <row r="44" spans="1:13" x14ac:dyDescent="0.25">
      <c r="A44" s="388"/>
      <c r="B44" s="219" t="s">
        <v>192</v>
      </c>
      <c r="C44" s="220" t="s">
        <v>208</v>
      </c>
      <c r="D44" s="220" t="s">
        <v>169</v>
      </c>
      <c r="E44" s="220" t="s">
        <v>213</v>
      </c>
      <c r="F44" s="220" t="s">
        <v>210</v>
      </c>
      <c r="G44" s="220">
        <v>50</v>
      </c>
      <c r="H44" s="220">
        <v>0.08</v>
      </c>
      <c r="I44" s="220">
        <v>0.1</v>
      </c>
      <c r="J44" s="220">
        <v>7840</v>
      </c>
      <c r="K44" s="220">
        <v>140</v>
      </c>
      <c r="L44" s="222">
        <v>0.88239999999999996</v>
      </c>
      <c r="M44" s="161"/>
    </row>
    <row r="45" spans="1:13" x14ac:dyDescent="0.25">
      <c r="A45" s="388"/>
      <c r="B45" s="219" t="s">
        <v>193</v>
      </c>
      <c r="C45" s="220" t="s">
        <v>208</v>
      </c>
      <c r="D45" s="220" t="s">
        <v>169</v>
      </c>
      <c r="E45" s="220" t="s">
        <v>213</v>
      </c>
      <c r="F45" s="220" t="s">
        <v>210</v>
      </c>
      <c r="G45" s="220">
        <v>100</v>
      </c>
      <c r="H45" s="220">
        <v>0.08</v>
      </c>
      <c r="I45" s="220">
        <v>0.17</v>
      </c>
      <c r="J45" s="220">
        <v>7840</v>
      </c>
      <c r="K45" s="220">
        <v>140</v>
      </c>
      <c r="L45" s="222">
        <v>0.88539999999999996</v>
      </c>
      <c r="M45" s="161"/>
    </row>
    <row r="46" spans="1:13" x14ac:dyDescent="0.25">
      <c r="A46" s="388"/>
      <c r="B46" s="219" t="s">
        <v>194</v>
      </c>
      <c r="C46" s="220" t="s">
        <v>208</v>
      </c>
      <c r="D46" s="220" t="s">
        <v>169</v>
      </c>
      <c r="E46" s="220" t="s">
        <v>213</v>
      </c>
      <c r="F46" s="220" t="s">
        <v>210</v>
      </c>
      <c r="G46" s="220">
        <v>200</v>
      </c>
      <c r="H46" s="220">
        <v>0.28999999999999998</v>
      </c>
      <c r="I46" s="220">
        <v>0.33</v>
      </c>
      <c r="J46" s="220">
        <v>7840</v>
      </c>
      <c r="K46" s="220">
        <v>140</v>
      </c>
      <c r="L46" s="222">
        <v>0.88519999999999999</v>
      </c>
      <c r="M46" s="161"/>
    </row>
    <row r="47" spans="1:13" x14ac:dyDescent="0.25">
      <c r="A47" s="388"/>
      <c r="B47" s="219" t="s">
        <v>200</v>
      </c>
      <c r="C47" s="220" t="s">
        <v>209</v>
      </c>
      <c r="D47" s="220" t="s">
        <v>169</v>
      </c>
      <c r="E47" s="220" t="s">
        <v>213</v>
      </c>
      <c r="F47" s="220" t="s">
        <v>210</v>
      </c>
      <c r="G47" s="220">
        <v>200</v>
      </c>
      <c r="H47" s="220">
        <v>0.33</v>
      </c>
      <c r="I47" s="220">
        <v>0.33</v>
      </c>
      <c r="J47" s="220">
        <v>7840</v>
      </c>
      <c r="K47" s="220">
        <v>140</v>
      </c>
      <c r="L47" s="222">
        <v>0.88500000000000001</v>
      </c>
      <c r="M47" s="161"/>
    </row>
    <row r="48" spans="1:13" x14ac:dyDescent="0.25">
      <c r="A48" s="388"/>
      <c r="B48" s="219" t="s">
        <v>195</v>
      </c>
      <c r="C48" s="220" t="s">
        <v>208</v>
      </c>
      <c r="D48" s="220" t="s">
        <v>169</v>
      </c>
      <c r="E48" s="220" t="s">
        <v>213</v>
      </c>
      <c r="F48" s="220" t="s">
        <v>210</v>
      </c>
      <c r="G48" s="220">
        <v>500</v>
      </c>
      <c r="H48" s="220">
        <v>0.94</v>
      </c>
      <c r="I48" s="220">
        <v>0.83</v>
      </c>
      <c r="J48" s="220">
        <v>7840</v>
      </c>
      <c r="K48" s="220">
        <v>140</v>
      </c>
      <c r="L48" s="222">
        <v>0.88539999999999996</v>
      </c>
      <c r="M48" s="161"/>
    </row>
    <row r="49" spans="1:13" x14ac:dyDescent="0.25">
      <c r="A49" s="388"/>
      <c r="B49" s="219" t="s">
        <v>196</v>
      </c>
      <c r="C49" s="220" t="s">
        <v>208</v>
      </c>
      <c r="D49" s="220" t="s">
        <v>169</v>
      </c>
      <c r="E49" s="220" t="s">
        <v>213</v>
      </c>
      <c r="F49" s="220" t="s">
        <v>210</v>
      </c>
      <c r="G49" s="220">
        <v>1000</v>
      </c>
      <c r="H49" s="223">
        <v>0</v>
      </c>
      <c r="I49" s="220">
        <v>1.7</v>
      </c>
      <c r="J49" s="220">
        <v>7840</v>
      </c>
      <c r="K49" s="220">
        <v>140</v>
      </c>
      <c r="L49" s="222">
        <v>0.88449999999999995</v>
      </c>
      <c r="M49" s="161"/>
    </row>
    <row r="50" spans="1:13" x14ac:dyDescent="0.25">
      <c r="A50" s="388"/>
      <c r="B50" s="219" t="s">
        <v>197</v>
      </c>
      <c r="C50" s="220" t="s">
        <v>208</v>
      </c>
      <c r="D50" s="220" t="s">
        <v>169</v>
      </c>
      <c r="E50" s="220" t="s">
        <v>213</v>
      </c>
      <c r="F50" s="220" t="s">
        <v>210</v>
      </c>
      <c r="G50" s="220">
        <v>2000</v>
      </c>
      <c r="H50" s="223">
        <v>3</v>
      </c>
      <c r="I50" s="220">
        <v>3.3</v>
      </c>
      <c r="J50" s="220">
        <v>7840</v>
      </c>
      <c r="K50" s="220">
        <v>140</v>
      </c>
      <c r="L50" s="222">
        <v>0.88429999999999997</v>
      </c>
      <c r="M50" s="161"/>
    </row>
    <row r="51" spans="1:13" x14ac:dyDescent="0.25">
      <c r="A51" s="388"/>
      <c r="B51" s="219" t="s">
        <v>199</v>
      </c>
      <c r="C51" s="220" t="s">
        <v>209</v>
      </c>
      <c r="D51" s="220" t="s">
        <v>169</v>
      </c>
      <c r="E51" s="220" t="s">
        <v>213</v>
      </c>
      <c r="F51" s="220" t="s">
        <v>210</v>
      </c>
      <c r="G51" s="220">
        <v>2000</v>
      </c>
      <c r="H51" s="220">
        <v>3.9</v>
      </c>
      <c r="I51" s="220">
        <v>3.3</v>
      </c>
      <c r="J51" s="220">
        <v>7840</v>
      </c>
      <c r="K51" s="220">
        <v>140</v>
      </c>
      <c r="L51" s="222">
        <v>0.8841</v>
      </c>
      <c r="M51" s="161"/>
    </row>
    <row r="52" spans="1:13" ht="15.75" thickBot="1" x14ac:dyDescent="0.3">
      <c r="A52" s="389"/>
      <c r="B52" s="224" t="s">
        <v>198</v>
      </c>
      <c r="C52" s="225" t="s">
        <v>208</v>
      </c>
      <c r="D52" s="225" t="s">
        <v>169</v>
      </c>
      <c r="E52" s="220" t="s">
        <v>213</v>
      </c>
      <c r="F52" s="225" t="s">
        <v>210</v>
      </c>
      <c r="G52" s="225">
        <v>5000</v>
      </c>
      <c r="H52" s="225">
        <v>7.7</v>
      </c>
      <c r="I52" s="225">
        <v>8.3000000000000007</v>
      </c>
      <c r="J52" s="225">
        <v>7840</v>
      </c>
      <c r="K52" s="225">
        <v>140</v>
      </c>
      <c r="L52" s="228">
        <v>0.88370000000000004</v>
      </c>
      <c r="M52" s="161"/>
    </row>
    <row r="53" spans="1:13" x14ac:dyDescent="0.25">
      <c r="A53" s="158"/>
    </row>
  </sheetData>
  <mergeCells count="4">
    <mergeCell ref="A2:A18"/>
    <mergeCell ref="A19:A34"/>
    <mergeCell ref="A37:A52"/>
    <mergeCell ref="A35:A36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83"/>
  <sheetViews>
    <sheetView showGridLines="0" view="pageBreakPreview" topLeftCell="A49" zoomScale="60" zoomScaleNormal="100" workbookViewId="0">
      <selection activeCell="H54" sqref="H54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138</v>
      </c>
      <c r="E9" s="23"/>
      <c r="F9" s="24" t="s">
        <v>48</v>
      </c>
      <c r="G9" s="159">
        <v>11119515</v>
      </c>
      <c r="H9" s="26" t="s">
        <v>49</v>
      </c>
      <c r="I9" s="28">
        <v>100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100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100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0.06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0.05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20.3</v>
      </c>
      <c r="F24" s="420" t="s">
        <v>65</v>
      </c>
      <c r="G24" s="421"/>
      <c r="H24" s="47">
        <v>44.5</v>
      </c>
      <c r="I24" s="48" t="s">
        <v>23</v>
      </c>
      <c r="J24" s="49">
        <v>751.2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1.2999999999999999E-4</v>
      </c>
      <c r="D29" s="98">
        <v>1.2E-4</v>
      </c>
      <c r="E29" s="98">
        <v>1.2E-4</v>
      </c>
      <c r="F29" s="98">
        <v>1.2E-4</v>
      </c>
      <c r="G29" s="98">
        <v>1.2999999999999999E-4</v>
      </c>
      <c r="H29" s="98">
        <v>1.2999999999999999E-4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1.2999999999999999E-4</v>
      </c>
      <c r="D30" s="98">
        <v>1.2999999999999999E-4</v>
      </c>
      <c r="E30" s="98">
        <v>1.2E-4</v>
      </c>
      <c r="F30" s="98">
        <v>1.2999999999999999E-4</v>
      </c>
      <c r="G30" s="98">
        <v>1.2999999999999999E-4</v>
      </c>
      <c r="H30" s="98">
        <v>1.2999999999999999E-4</v>
      </c>
      <c r="I30" s="23"/>
      <c r="J30" s="23"/>
    </row>
    <row r="31" spans="1:10" ht="31.5" customHeight="1" thickBot="1" x14ac:dyDescent="0.3">
      <c r="A31" s="424"/>
      <c r="B31" s="53" t="s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20.100000000000001</v>
      </c>
      <c r="F33" s="420" t="s">
        <v>65</v>
      </c>
      <c r="G33" s="421"/>
      <c r="H33" s="47">
        <v>48</v>
      </c>
      <c r="I33" s="48" t="s">
        <v>23</v>
      </c>
      <c r="J33" s="49">
        <v>751.2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1.2999999999999999E-4</v>
      </c>
      <c r="D41" s="104">
        <f t="shared" ref="D41:H41" si="1">+AVERAGE(D29:D30)</f>
        <v>1.25E-4</v>
      </c>
      <c r="E41" s="104">
        <f t="shared" si="1"/>
        <v>1.2E-4</v>
      </c>
      <c r="F41" s="104">
        <f t="shared" si="1"/>
        <v>1.25E-4</v>
      </c>
      <c r="G41" s="104">
        <f t="shared" si="1"/>
        <v>1.2999999999999999E-4</v>
      </c>
      <c r="H41" s="105">
        <f t="shared" si="1"/>
        <v>1.2999999999999999E-4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1.2999999999999999E-4</v>
      </c>
      <c r="D42" s="107">
        <f t="shared" ref="D42:H42" si="2">+D41-D40</f>
        <v>1.25E-4</v>
      </c>
      <c r="E42" s="107">
        <f t="shared" si="2"/>
        <v>1.2E-4</v>
      </c>
      <c r="F42" s="107">
        <f t="shared" si="2"/>
        <v>1.25E-4</v>
      </c>
      <c r="G42" s="107">
        <f t="shared" si="2"/>
        <v>1.2999999999999999E-4</v>
      </c>
      <c r="H42" s="108">
        <f t="shared" si="2"/>
        <v>1.2999999999999999E-4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1.2666666666666666E-4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4.0824829046386231E-6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20.200000000000003</v>
      </c>
      <c r="E48" s="23"/>
      <c r="F48" s="413" t="s">
        <v>80</v>
      </c>
      <c r="G48" s="414"/>
      <c r="H48" s="110">
        <f>+(0.34848*D50-0.009024*D49*EXP(0.0612*D48))/(273.15+D48)</f>
        <v>0.88747691762476477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46.25</v>
      </c>
      <c r="E49" s="23"/>
      <c r="F49" s="452" t="s">
        <v>82</v>
      </c>
      <c r="G49" s="453"/>
      <c r="H49" s="111">
        <f>+H48*((0.001)^2+(0.0001*I20/2)^2+(-0.0034*D20/2)^2+(-0.1*G20/2)^2)^0.5</f>
        <v>7.5441361763520232E-2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751.2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1.2666666666666666E-4</v>
      </c>
      <c r="C54" s="127" t="s">
        <v>1</v>
      </c>
      <c r="D54" s="121">
        <f>+C11+C12/1000</f>
        <v>100.00006</v>
      </c>
      <c r="E54" s="127" t="s">
        <v>1</v>
      </c>
      <c r="F54" s="121">
        <f>+(H48-H50)*(1/H11-1/C14)</f>
        <v>-2.4569424715033937E-7</v>
      </c>
      <c r="G54" s="128"/>
      <c r="H54" s="65">
        <f>+(B54+D54*F54)*1000</f>
        <v>0.10209722720997791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1.666666666666664E-3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2.5000000000000001E-2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2.8867513459481291E-2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3.8188130791298673E-2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7.5441361763520232E-2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3.4362060190636964E-2</v>
      </c>
      <c r="D66" s="94" t="s">
        <v>3</v>
      </c>
      <c r="E66" s="75"/>
      <c r="F66" s="442" t="s">
        <v>101</v>
      </c>
      <c r="G66" s="443"/>
      <c r="H66" s="129">
        <f>+SQRT(SUMSQ(C59,C62,C66,C67))</f>
        <v>5.1560924723308983E-2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0.10312184944661797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100</v>
      </c>
      <c r="B73" s="119">
        <f>C12</f>
        <v>0.06</v>
      </c>
      <c r="C73" s="120">
        <f>H54</f>
        <v>0.10209722720997791</v>
      </c>
      <c r="D73" s="121">
        <f>A73+B73/1000+C73/1000</f>
        <v>100.00016209722722</v>
      </c>
      <c r="E73" s="107">
        <f>A73*1000-D73*1000</f>
        <v>-0.16209722722123843</v>
      </c>
      <c r="F73" s="107" t="s">
        <v>3</v>
      </c>
      <c r="G73" s="92">
        <f>D73+E73/1000</f>
        <v>100</v>
      </c>
      <c r="H73" s="436"/>
      <c r="I73" s="99">
        <f>H67</f>
        <v>0.10312184944661797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83"/>
  <sheetViews>
    <sheetView showGridLines="0" view="pageBreakPreview" topLeftCell="A7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140</v>
      </c>
      <c r="E9" s="23"/>
      <c r="F9" s="24" t="s">
        <v>48</v>
      </c>
      <c r="G9" s="159">
        <v>11119515</v>
      </c>
      <c r="H9" s="26" t="s">
        <v>49</v>
      </c>
      <c r="I9" s="28">
        <v>200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200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200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0.16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0.1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20.3</v>
      </c>
      <c r="F24" s="420" t="s">
        <v>65</v>
      </c>
      <c r="G24" s="421"/>
      <c r="H24" s="47">
        <v>48.5</v>
      </c>
      <c r="I24" s="48" t="s">
        <v>23</v>
      </c>
      <c r="J24" s="49">
        <v>751.2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1.6000000000000001E-4</v>
      </c>
      <c r="D29" s="98">
        <v>1.6000000000000001E-4</v>
      </c>
      <c r="E29" s="98">
        <v>1.3999999999999999E-4</v>
      </c>
      <c r="F29" s="98">
        <v>1.4999999999999999E-4</v>
      </c>
      <c r="G29" s="98">
        <v>1.4999999999999999E-4</v>
      </c>
      <c r="H29" s="98">
        <v>1.6000000000000001E-4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1.6000000000000001E-4</v>
      </c>
      <c r="D30" s="98">
        <v>1.4999999999999999E-4</v>
      </c>
      <c r="E30" s="98">
        <v>1.4999999999999999E-4</v>
      </c>
      <c r="F30" s="98">
        <v>1.3999999999999999E-4</v>
      </c>
      <c r="G30" s="98">
        <v>1.6000000000000001E-4</v>
      </c>
      <c r="H30" s="98">
        <v>1.6000000000000001E-4</v>
      </c>
      <c r="I30" s="23"/>
      <c r="J30" s="23"/>
    </row>
    <row r="31" spans="1:10" ht="31.5" customHeight="1" thickBot="1" x14ac:dyDescent="0.3">
      <c r="A31" s="424"/>
      <c r="B31" s="53" t="s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</v>
      </c>
      <c r="F33" s="420" t="s">
        <v>65</v>
      </c>
      <c r="G33" s="421"/>
      <c r="H33" s="47">
        <v>51.3</v>
      </c>
      <c r="I33" s="48" t="s">
        <v>23</v>
      </c>
      <c r="J33" s="49">
        <v>751.2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1.6000000000000001E-4</v>
      </c>
      <c r="D41" s="104">
        <f t="shared" ref="D41:H41" si="1">+AVERAGE(D29:D30)</f>
        <v>1.55E-4</v>
      </c>
      <c r="E41" s="104">
        <f t="shared" si="1"/>
        <v>1.45E-4</v>
      </c>
      <c r="F41" s="104">
        <f t="shared" si="1"/>
        <v>1.45E-4</v>
      </c>
      <c r="G41" s="104">
        <f t="shared" si="1"/>
        <v>1.55E-4</v>
      </c>
      <c r="H41" s="105">
        <f t="shared" si="1"/>
        <v>1.6000000000000001E-4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1.6000000000000001E-4</v>
      </c>
      <c r="D42" s="107">
        <f t="shared" ref="D42:H42" si="2">+D41-D40</f>
        <v>1.55E-4</v>
      </c>
      <c r="E42" s="107">
        <f t="shared" si="2"/>
        <v>1.45E-4</v>
      </c>
      <c r="F42" s="107">
        <f t="shared" si="2"/>
        <v>1.45E-4</v>
      </c>
      <c r="G42" s="107">
        <f t="shared" si="2"/>
        <v>1.55E-4</v>
      </c>
      <c r="H42" s="108">
        <f t="shared" si="2"/>
        <v>1.6000000000000001E-4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1.5333333333333334E-4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6.8313005106397374E-6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20.149999999999999</v>
      </c>
      <c r="E48" s="23"/>
      <c r="F48" s="413" t="s">
        <v>80</v>
      </c>
      <c r="G48" s="414"/>
      <c r="H48" s="110">
        <f>+(0.34848*D50-0.009024*D49*EXP(0.0612*D48))/(273.15+D48)</f>
        <v>0.88725774884367681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49.9</v>
      </c>
      <c r="E49" s="23"/>
      <c r="F49" s="452" t="s">
        <v>82</v>
      </c>
      <c r="G49" s="453"/>
      <c r="H49" s="111">
        <f>+H48*((0.001)^2+(0.0001*I20/2)^2+(-0.0034*D20/2)^2+(-0.1*G20/2)^2)^0.5</f>
        <v>7.5422730978907171E-2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751.2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1.5333333333333334E-4</v>
      </c>
      <c r="C54" s="127" t="s">
        <v>1</v>
      </c>
      <c r="D54" s="121">
        <f>+C11+C12/1000</f>
        <v>200.00015999999999</v>
      </c>
      <c r="E54" s="127" t="s">
        <v>1</v>
      </c>
      <c r="F54" s="121">
        <f>+(H48-H50)*(1/H11-1/C14)</f>
        <v>-2.4586654965119469E-7</v>
      </c>
      <c r="G54" s="128"/>
      <c r="H54" s="65">
        <f>+(B54+D54*F54)*1000</f>
        <v>0.10415998406444646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2.7888667551135876E-3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0.05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5.7735026918962581E-2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7.6376261582597346E-2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7.5422730978907171E-2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6.8772555966954557E-2</v>
      </c>
      <c r="D66" s="94" t="s">
        <v>3</v>
      </c>
      <c r="E66" s="75"/>
      <c r="F66" s="442" t="s">
        <v>101</v>
      </c>
      <c r="G66" s="443"/>
      <c r="H66" s="129">
        <f>+SQRT(SUMSQ(C59,C62,C66,C67))</f>
        <v>0.10289529742415673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0.20579059484831347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200</v>
      </c>
      <c r="B73" s="119">
        <f>C12</f>
        <v>0.16</v>
      </c>
      <c r="C73" s="120">
        <f>H54</f>
        <v>0.10415998406444646</v>
      </c>
      <c r="D73" s="121">
        <f>A73+B73/1000+C73/1000</f>
        <v>200.00026415998406</v>
      </c>
      <c r="E73" s="107">
        <f>A73*1000-D73*1000</f>
        <v>-0.26415998404263519</v>
      </c>
      <c r="F73" s="107" t="s">
        <v>3</v>
      </c>
      <c r="G73" s="92">
        <f>D73+E73/1000</f>
        <v>200</v>
      </c>
      <c r="H73" s="436"/>
      <c r="I73" s="99">
        <f>H67</f>
        <v>0.20579059484831347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83"/>
  <sheetViews>
    <sheetView showGridLines="0" view="pageBreakPreview" topLeftCell="A4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139</v>
      </c>
      <c r="E9" s="23"/>
      <c r="F9" s="24" t="s">
        <v>48</v>
      </c>
      <c r="G9" s="159">
        <v>11119515</v>
      </c>
      <c r="H9" s="26" t="s">
        <v>49</v>
      </c>
      <c r="I9" s="28" t="s">
        <v>205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200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200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0.06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0.1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</v>
      </c>
      <c r="F24" s="420" t="s">
        <v>65</v>
      </c>
      <c r="G24" s="421"/>
      <c r="H24" s="47">
        <v>51.3</v>
      </c>
      <c r="I24" s="48" t="s">
        <v>23</v>
      </c>
      <c r="J24" s="49">
        <v>751.2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3.6000000000000002E-4</v>
      </c>
      <c r="D29" s="98">
        <v>3.5E-4</v>
      </c>
      <c r="E29" s="98">
        <v>3.5E-4</v>
      </c>
      <c r="F29" s="98">
        <v>3.4000000000000002E-4</v>
      </c>
      <c r="G29" s="98">
        <v>3.4000000000000002E-4</v>
      </c>
      <c r="H29" s="98">
        <v>3.5E-4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3.6000000000000002E-4</v>
      </c>
      <c r="D30" s="98">
        <v>3.6000000000000002E-4</v>
      </c>
      <c r="E30" s="98">
        <v>3.4000000000000002E-4</v>
      </c>
      <c r="F30" s="98">
        <v>3.4000000000000002E-4</v>
      </c>
      <c r="G30" s="98">
        <v>3.4000000000000002E-4</v>
      </c>
      <c r="H30" s="98">
        <v>3.4000000000000002E-4</v>
      </c>
      <c r="I30" s="23"/>
      <c r="J30" s="23"/>
    </row>
    <row r="31" spans="1:10" ht="31.5" customHeight="1" thickBot="1" x14ac:dyDescent="0.3">
      <c r="A31" s="424"/>
      <c r="B31" s="53" t="s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20.100000000000001</v>
      </c>
      <c r="F33" s="420" t="s">
        <v>65</v>
      </c>
      <c r="G33" s="421"/>
      <c r="H33" s="47">
        <v>51.6</v>
      </c>
      <c r="I33" s="48" t="s">
        <v>23</v>
      </c>
      <c r="J33" s="49">
        <v>751.1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3.6000000000000002E-4</v>
      </c>
      <c r="D41" s="104">
        <f t="shared" ref="D41:H41" si="1">+AVERAGE(D29:D30)</f>
        <v>3.5500000000000001E-4</v>
      </c>
      <c r="E41" s="104">
        <f t="shared" si="1"/>
        <v>3.4500000000000004E-4</v>
      </c>
      <c r="F41" s="104">
        <f t="shared" si="1"/>
        <v>3.4000000000000002E-4</v>
      </c>
      <c r="G41" s="104">
        <f t="shared" si="1"/>
        <v>3.4000000000000002E-4</v>
      </c>
      <c r="H41" s="105">
        <f t="shared" si="1"/>
        <v>3.4500000000000004E-4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3.6000000000000002E-4</v>
      </c>
      <c r="D42" s="107">
        <f t="shared" ref="D42:H42" si="2">+D41-D40</f>
        <v>3.5500000000000001E-4</v>
      </c>
      <c r="E42" s="107">
        <f t="shared" si="2"/>
        <v>3.4500000000000004E-4</v>
      </c>
      <c r="F42" s="107">
        <f t="shared" si="2"/>
        <v>3.4000000000000002E-4</v>
      </c>
      <c r="G42" s="107">
        <f t="shared" si="2"/>
        <v>3.4000000000000002E-4</v>
      </c>
      <c r="H42" s="108">
        <f t="shared" si="2"/>
        <v>3.4500000000000004E-4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3.4749999999999999E-4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8.2158383625774869E-6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20.05</v>
      </c>
      <c r="E48" s="23"/>
      <c r="F48" s="413" t="s">
        <v>80</v>
      </c>
      <c r="G48" s="414"/>
      <c r="H48" s="110">
        <f>+(0.34848*D50-0.009024*D49*EXP(0.0612*D48))/(273.15+D48)</f>
        <v>0.88737036234644773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51.45</v>
      </c>
      <c r="E49" s="23"/>
      <c r="F49" s="452" t="s">
        <v>82</v>
      </c>
      <c r="G49" s="453"/>
      <c r="H49" s="111">
        <f>+H48*((0.001)^2+(0.0001*I20/2)^2+(-0.0034*D20/2)^2+(-0.1*G20/2)^2)^0.5</f>
        <v>7.5432303865630518E-2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751.15000000000009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3.4749999999999999E-4</v>
      </c>
      <c r="C54" s="127" t="s">
        <v>1</v>
      </c>
      <c r="D54" s="121">
        <f>+C11+C12/1000</f>
        <v>200.00005999999999</v>
      </c>
      <c r="E54" s="127" t="s">
        <v>1</v>
      </c>
      <c r="F54" s="121">
        <f>+(H48-H50)*(1/H11-1/C14)</f>
        <v>-2.4577801702323012E-7</v>
      </c>
      <c r="G54" s="128"/>
      <c r="H54" s="65">
        <f>+(B54+D54*F54)*1000</f>
        <v>0.29834438184867296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3.3541019662496827E-3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0.05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5.7735026918962581E-2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7.6376261582597346E-2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7.5432303865630518E-2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6.8747641209148919E-2</v>
      </c>
      <c r="D66" s="94" t="s">
        <v>3</v>
      </c>
      <c r="E66" s="75"/>
      <c r="F66" s="442" t="s">
        <v>101</v>
      </c>
      <c r="G66" s="443"/>
      <c r="H66" s="129">
        <f>+SQRT(SUMSQ(C59,C62,C66,C67))</f>
        <v>0.10289552065965687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0.20579104131931375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200</v>
      </c>
      <c r="B73" s="119">
        <f>C12</f>
        <v>0.06</v>
      </c>
      <c r="C73" s="120">
        <f>H54</f>
        <v>0.29834438184867296</v>
      </c>
      <c r="D73" s="121">
        <f>A73+B73/1000+C73/1000</f>
        <v>200.00035834438185</v>
      </c>
      <c r="E73" s="107">
        <f>A73*1000-D73*1000</f>
        <v>-0.35834438184974715</v>
      </c>
      <c r="F73" s="107" t="s">
        <v>3</v>
      </c>
      <c r="G73" s="92">
        <f>D73+E73/1000</f>
        <v>200</v>
      </c>
      <c r="H73" s="436"/>
      <c r="I73" s="99">
        <f>H67</f>
        <v>0.20579104131931375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83"/>
  <sheetViews>
    <sheetView showGridLines="0" view="pageBreakPreview" topLeftCell="A4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3.42578125" style="87" bestFit="1" customWidth="1"/>
    <col min="6" max="6" width="13.85546875" style="87" bestFit="1" customWidth="1"/>
    <col min="7" max="7" width="11.42578125" style="87"/>
    <col min="8" max="8" width="13.7109375" style="87" bestFit="1" customWidth="1"/>
    <col min="9" max="9" width="14.5703125" style="87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141</v>
      </c>
      <c r="E9" s="23"/>
      <c r="F9" s="24" t="s">
        <v>48</v>
      </c>
      <c r="G9" s="159">
        <v>11119515</v>
      </c>
      <c r="H9" s="26" t="s">
        <v>49</v>
      </c>
      <c r="I9" s="28">
        <v>500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500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500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0.35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0.25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43" t="s">
        <v>125</v>
      </c>
      <c r="H15" s="26" t="s">
        <v>48</v>
      </c>
      <c r="I15" s="244" t="s">
        <v>262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1E-3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 t="s">
        <v>238</v>
      </c>
      <c r="C24" s="420" t="s">
        <v>64</v>
      </c>
      <c r="D24" s="421"/>
      <c r="E24" s="47">
        <v>20.3</v>
      </c>
      <c r="F24" s="420" t="s">
        <v>65</v>
      </c>
      <c r="G24" s="421"/>
      <c r="H24" s="47">
        <v>57.1</v>
      </c>
      <c r="I24" s="48" t="s">
        <v>23</v>
      </c>
      <c r="J24" s="49">
        <v>751.8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23"/>
      <c r="J29" s="23"/>
    </row>
    <row r="30" spans="1:10" ht="31.5" customHeight="1" x14ac:dyDescent="0.25">
      <c r="A30" s="422"/>
      <c r="B30" s="135" t="s">
        <v>2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 t="s">
        <v>239</v>
      </c>
      <c r="C33" s="420" t="s">
        <v>64</v>
      </c>
      <c r="D33" s="421"/>
      <c r="E33" s="47">
        <v>20.6</v>
      </c>
      <c r="F33" s="420" t="s">
        <v>65</v>
      </c>
      <c r="G33" s="421"/>
      <c r="H33" s="47">
        <v>50.7</v>
      </c>
      <c r="I33" s="48" t="s">
        <v>23</v>
      </c>
      <c r="J33" s="49">
        <v>751.8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41">
        <f>+AVERAGE(C28,C31)</f>
        <v>0</v>
      </c>
      <c r="D40" s="142">
        <f t="shared" ref="D40:H40" si="0">+AVERAGE(D28,D31)</f>
        <v>0</v>
      </c>
      <c r="E40" s="142">
        <f t="shared" si="0"/>
        <v>0</v>
      </c>
      <c r="F40" s="142">
        <f t="shared" si="0"/>
        <v>0</v>
      </c>
      <c r="G40" s="142">
        <f t="shared" si="0"/>
        <v>0</v>
      </c>
      <c r="H40" s="143">
        <f t="shared" si="0"/>
        <v>0</v>
      </c>
      <c r="I40" s="23"/>
      <c r="J40" s="23"/>
    </row>
    <row r="41" spans="1:10" ht="31.5" customHeight="1" x14ac:dyDescent="0.25">
      <c r="A41" s="35"/>
      <c r="B41" s="57"/>
      <c r="C41" s="144">
        <f>+AVERAGE(C29:C30)</f>
        <v>0</v>
      </c>
      <c r="D41" s="145">
        <f t="shared" ref="D41:H41" si="1">+AVERAGE(D29:D30)</f>
        <v>0</v>
      </c>
      <c r="E41" s="145">
        <f t="shared" si="1"/>
        <v>0</v>
      </c>
      <c r="F41" s="145">
        <f t="shared" si="1"/>
        <v>0</v>
      </c>
      <c r="G41" s="145">
        <f t="shared" si="1"/>
        <v>0</v>
      </c>
      <c r="H41" s="146">
        <f t="shared" si="1"/>
        <v>0</v>
      </c>
      <c r="I41" s="23"/>
      <c r="J41" s="23"/>
    </row>
    <row r="42" spans="1:10" ht="31.5" customHeight="1" thickBot="1" x14ac:dyDescent="0.3">
      <c r="A42" s="35"/>
      <c r="B42" s="58"/>
      <c r="C42" s="153">
        <f>+C41-C40</f>
        <v>0</v>
      </c>
      <c r="D42" s="154">
        <f t="shared" ref="D42:H42" si="2">+D41-D40</f>
        <v>0</v>
      </c>
      <c r="E42" s="154">
        <f t="shared" si="2"/>
        <v>0</v>
      </c>
      <c r="F42" s="154">
        <f t="shared" si="2"/>
        <v>0</v>
      </c>
      <c r="G42" s="154">
        <f t="shared" si="2"/>
        <v>0</v>
      </c>
      <c r="H42" s="155">
        <f t="shared" si="2"/>
        <v>0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0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0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20.450000000000003</v>
      </c>
      <c r="E48" s="23"/>
      <c r="F48" s="413" t="s">
        <v>80</v>
      </c>
      <c r="G48" s="414"/>
      <c r="H48" s="110">
        <f>+(0.34848*D50-0.009024*D49*EXP(0.0612*D48))/(273.15+D48)</f>
        <v>0.88653599142237283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53.900000000000006</v>
      </c>
      <c r="E49" s="23"/>
      <c r="F49" s="452" t="s">
        <v>82</v>
      </c>
      <c r="G49" s="453"/>
      <c r="H49" s="111">
        <f>+H48*((0.001)^2+(0.0001*I20/2)^2+(-0.0034*D20/2)^2+(-0.1*G20/2)^2)^0.5</f>
        <v>7.5361376861808743E-2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751.8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0</v>
      </c>
      <c r="C54" s="127" t="s">
        <v>1</v>
      </c>
      <c r="D54" s="121">
        <f>+C11+C12/1000</f>
        <v>500.00035000000003</v>
      </c>
      <c r="E54" s="127" t="s">
        <v>1</v>
      </c>
      <c r="F54" s="121">
        <f>+(H48-H50)*(1/H11-1/C14)</f>
        <v>-2.4643396900756571E-7</v>
      </c>
      <c r="G54" s="128"/>
      <c r="H54" s="65">
        <f>+(B54+D54*F54)*1000</f>
        <v>-0.12321707075567202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0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0.125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0.14433756729740646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0.19094065395649334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7.5361376861808743E-2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0.17233005701401383</v>
      </c>
      <c r="D66" s="94" t="s">
        <v>3</v>
      </c>
      <c r="E66" s="75"/>
      <c r="F66" s="442" t="s">
        <v>101</v>
      </c>
      <c r="G66" s="443"/>
      <c r="H66" s="129">
        <f>+SQRT(SUMSQ(C59,C62,C66,C67))</f>
        <v>0.48251699301729606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0.40824829046386307</v>
      </c>
      <c r="D67" s="66" t="s">
        <v>3</v>
      </c>
      <c r="E67" s="75"/>
      <c r="F67" s="407" t="s">
        <v>103</v>
      </c>
      <c r="G67" s="444"/>
      <c r="H67" s="65">
        <f>+H66*2</f>
        <v>0.96503398603459212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500</v>
      </c>
      <c r="B73" s="119">
        <f>C12</f>
        <v>0.35</v>
      </c>
      <c r="C73" s="120">
        <f>H54</f>
        <v>-0.12321707075567202</v>
      </c>
      <c r="D73" s="121">
        <f>A73+B73/1000+C73/1000</f>
        <v>500.00022678292925</v>
      </c>
      <c r="E73" s="107">
        <f>A73*1000-D73*1000</f>
        <v>-0.22678292926866561</v>
      </c>
      <c r="F73" s="107" t="s">
        <v>3</v>
      </c>
      <c r="G73" s="92">
        <f>D73+E73/1000</f>
        <v>500</v>
      </c>
      <c r="H73" s="436"/>
      <c r="I73" s="99">
        <f>H67</f>
        <v>0.96503398603459212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paperSize="9"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83"/>
  <sheetViews>
    <sheetView showGridLines="0" view="pageBreakPreview" topLeftCell="A6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8" width="13.7109375" style="87" bestFit="1" customWidth="1"/>
    <col min="9" max="9" width="14.42578125" style="87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142</v>
      </c>
      <c r="E9" s="23"/>
      <c r="F9" s="24" t="s">
        <v>48</v>
      </c>
      <c r="G9" s="159">
        <v>11119515</v>
      </c>
      <c r="H9" s="26" t="s">
        <v>49</v>
      </c>
      <c r="I9" s="28">
        <v>1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1000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1000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0.7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0.5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43" t="s">
        <v>125</v>
      </c>
      <c r="H15" s="26" t="s">
        <v>48</v>
      </c>
      <c r="I15" s="244" t="s">
        <v>262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1E-3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 t="s">
        <v>240</v>
      </c>
      <c r="C24" s="420" t="s">
        <v>64</v>
      </c>
      <c r="D24" s="421"/>
      <c r="E24" s="47">
        <v>20.6</v>
      </c>
      <c r="F24" s="420" t="s">
        <v>65</v>
      </c>
      <c r="G24" s="421"/>
      <c r="H24" s="47">
        <v>50.7</v>
      </c>
      <c r="I24" s="48" t="s">
        <v>23</v>
      </c>
      <c r="J24" s="49">
        <v>751.8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23"/>
      <c r="J29" s="23"/>
    </row>
    <row r="30" spans="1:10" ht="31.5" customHeight="1" x14ac:dyDescent="0.25">
      <c r="A30" s="422"/>
      <c r="B30" s="135" t="s">
        <v>2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138">
        <v>-1E-3</v>
      </c>
      <c r="D31" s="138">
        <v>0</v>
      </c>
      <c r="E31" s="138">
        <v>-1E-3</v>
      </c>
      <c r="F31" s="138">
        <v>0</v>
      </c>
      <c r="G31" s="138">
        <v>0</v>
      </c>
      <c r="H31" s="138">
        <v>-1E-3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 t="s">
        <v>241</v>
      </c>
      <c r="C33" s="420" t="s">
        <v>64</v>
      </c>
      <c r="D33" s="421"/>
      <c r="E33" s="47">
        <v>20.5</v>
      </c>
      <c r="F33" s="420" t="s">
        <v>65</v>
      </c>
      <c r="G33" s="421"/>
      <c r="H33" s="47">
        <v>57</v>
      </c>
      <c r="I33" s="48" t="s">
        <v>23</v>
      </c>
      <c r="J33" s="49">
        <v>751.7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41">
        <f>+AVERAGE(C28,C31)</f>
        <v>-5.0000000000000001E-4</v>
      </c>
      <c r="D40" s="142">
        <f t="shared" ref="D40:H40" si="0">+AVERAGE(D28,D31)</f>
        <v>0</v>
      </c>
      <c r="E40" s="142">
        <f t="shared" si="0"/>
        <v>-5.0000000000000001E-4</v>
      </c>
      <c r="F40" s="142">
        <f t="shared" si="0"/>
        <v>0</v>
      </c>
      <c r="G40" s="142">
        <f t="shared" si="0"/>
        <v>0</v>
      </c>
      <c r="H40" s="143">
        <f t="shared" si="0"/>
        <v>-5.0000000000000001E-4</v>
      </c>
      <c r="I40" s="23"/>
      <c r="J40" s="23"/>
    </row>
    <row r="41" spans="1:10" ht="31.5" customHeight="1" x14ac:dyDescent="0.25">
      <c r="A41" s="35"/>
      <c r="B41" s="57"/>
      <c r="C41" s="144">
        <f>+AVERAGE(C29:C30)</f>
        <v>0</v>
      </c>
      <c r="D41" s="145">
        <f t="shared" ref="D41:H41" si="1">+AVERAGE(D29:D30)</f>
        <v>0</v>
      </c>
      <c r="E41" s="145">
        <f t="shared" si="1"/>
        <v>0</v>
      </c>
      <c r="F41" s="145">
        <f t="shared" si="1"/>
        <v>0</v>
      </c>
      <c r="G41" s="145">
        <f t="shared" si="1"/>
        <v>0</v>
      </c>
      <c r="H41" s="146">
        <f t="shared" si="1"/>
        <v>0</v>
      </c>
      <c r="I41" s="23"/>
      <c r="J41" s="23"/>
    </row>
    <row r="42" spans="1:10" ht="31.5" customHeight="1" thickBot="1" x14ac:dyDescent="0.3">
      <c r="A42" s="35"/>
      <c r="B42" s="58"/>
      <c r="C42" s="153">
        <f>+C41-C40</f>
        <v>5.0000000000000001E-4</v>
      </c>
      <c r="D42" s="154">
        <f t="shared" ref="D42:H42" si="2">+D41-D40</f>
        <v>0</v>
      </c>
      <c r="E42" s="154">
        <f t="shared" si="2"/>
        <v>5.0000000000000001E-4</v>
      </c>
      <c r="F42" s="154">
        <f t="shared" si="2"/>
        <v>0</v>
      </c>
      <c r="G42" s="154">
        <f t="shared" si="2"/>
        <v>0</v>
      </c>
      <c r="H42" s="155">
        <f t="shared" si="2"/>
        <v>5.0000000000000001E-4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2.5000000000000001E-4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2.7386127875258305E-4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20.55</v>
      </c>
      <c r="E48" s="23"/>
      <c r="F48" s="413" t="s">
        <v>80</v>
      </c>
      <c r="G48" s="414"/>
      <c r="H48" s="110">
        <f>+(0.34848*D50-0.009024*D49*EXP(0.0612*D48))/(273.15+D48)</f>
        <v>0.8861446792984996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53.85</v>
      </c>
      <c r="E49" s="23"/>
      <c r="F49" s="452" t="s">
        <v>82</v>
      </c>
      <c r="G49" s="453"/>
      <c r="H49" s="111">
        <f>+H48*((0.001)^2+(0.0001*I20/2)^2+(-0.0034*D20/2)^2+(-0.1*G20/2)^2)^0.5</f>
        <v>7.5328112763426811E-2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751.75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2.5000000000000001E-4</v>
      </c>
      <c r="C54" s="127" t="s">
        <v>1</v>
      </c>
      <c r="D54" s="121">
        <f>+C11+C12/1000</f>
        <v>1000.0007000000001</v>
      </c>
      <c r="E54" s="127" t="s">
        <v>1</v>
      </c>
      <c r="F54" s="121">
        <f>+(H48-H50)*(1/H11-1/C14)</f>
        <v>-2.467416043250761E-7</v>
      </c>
      <c r="G54" s="128"/>
      <c r="H54" s="65">
        <f>+(B54+D54*F54)*1000</f>
        <v>3.2582229558008637E-3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0.11180339887498948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0.25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0.28867513459481292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0.38188130791298669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7.5328112763426811E-2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0.34509246131165372</v>
      </c>
      <c r="D66" s="94" t="s">
        <v>3</v>
      </c>
      <c r="E66" s="75"/>
      <c r="F66" s="442" t="s">
        <v>101</v>
      </c>
      <c r="G66" s="443"/>
      <c r="H66" s="129">
        <f>+SQRT(SUMSQ(C59,C62,C66,C67))</f>
        <v>0.66639988509462944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0.40824829046386307</v>
      </c>
      <c r="D67" s="66" t="s">
        <v>3</v>
      </c>
      <c r="E67" s="75"/>
      <c r="F67" s="407" t="s">
        <v>103</v>
      </c>
      <c r="G67" s="444"/>
      <c r="H67" s="65">
        <f>+H66*2</f>
        <v>1.3327997701892589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1000</v>
      </c>
      <c r="B73" s="119">
        <f>C12</f>
        <v>0.7</v>
      </c>
      <c r="C73" s="120">
        <f>H54</f>
        <v>3.2582229558008637E-3</v>
      </c>
      <c r="D73" s="121">
        <f>A73+B73/1000+C73/1000</f>
        <v>1000.000703258223</v>
      </c>
      <c r="E73" s="107">
        <f>A73*1000-D73*1000</f>
        <v>-0.70325822301674634</v>
      </c>
      <c r="F73" s="107" t="s">
        <v>3</v>
      </c>
      <c r="G73" s="92">
        <f>D73+E73/1000</f>
        <v>1000</v>
      </c>
      <c r="H73" s="436"/>
      <c r="I73" s="99">
        <f>H67</f>
        <v>1.3327997701892589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83"/>
  <sheetViews>
    <sheetView showGridLines="0" view="pageBreakPreview" topLeftCell="A6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143</v>
      </c>
      <c r="E9" s="23"/>
      <c r="F9" s="24" t="s">
        <v>48</v>
      </c>
      <c r="G9" s="159">
        <v>11119515</v>
      </c>
      <c r="H9" s="26" t="s">
        <v>49</v>
      </c>
      <c r="I9" s="28">
        <v>2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2000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1.2</v>
      </c>
      <c r="D12" s="29" t="s">
        <v>3</v>
      </c>
      <c r="E12" s="34"/>
      <c r="F12" s="457" t="s">
        <v>117</v>
      </c>
      <c r="G12" s="458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9">
        <v>1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43" t="s">
        <v>125</v>
      </c>
      <c r="H15" s="26" t="s">
        <v>48</v>
      </c>
      <c r="I15" s="29">
        <v>34508523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0.01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 t="s">
        <v>242</v>
      </c>
      <c r="C24" s="420" t="s">
        <v>64</v>
      </c>
      <c r="D24" s="421"/>
      <c r="E24" s="47">
        <v>20.5</v>
      </c>
      <c r="F24" s="420" t="s">
        <v>65</v>
      </c>
      <c r="G24" s="421"/>
      <c r="H24" s="47">
        <v>57</v>
      </c>
      <c r="I24" s="48" t="s">
        <v>23</v>
      </c>
      <c r="J24" s="49">
        <v>751.7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23"/>
      <c r="J29" s="23"/>
    </row>
    <row r="30" spans="1:10" ht="31.5" customHeight="1" x14ac:dyDescent="0.25">
      <c r="A30" s="422"/>
      <c r="B30" s="135" t="s">
        <v>2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 t="s">
        <v>243</v>
      </c>
      <c r="C33" s="420" t="s">
        <v>64</v>
      </c>
      <c r="D33" s="421"/>
      <c r="E33" s="47">
        <v>20.7</v>
      </c>
      <c r="F33" s="420" t="s">
        <v>65</v>
      </c>
      <c r="G33" s="421"/>
      <c r="H33" s="47">
        <v>57</v>
      </c>
      <c r="I33" s="48" t="s">
        <v>23</v>
      </c>
      <c r="J33" s="49">
        <v>751.4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47">
        <f>+AVERAGE(C28,C31)</f>
        <v>0</v>
      </c>
      <c r="D40" s="148">
        <f t="shared" ref="D40:H40" si="0">+AVERAGE(D28,D31)</f>
        <v>0</v>
      </c>
      <c r="E40" s="148">
        <f t="shared" si="0"/>
        <v>0</v>
      </c>
      <c r="F40" s="148">
        <f t="shared" si="0"/>
        <v>0</v>
      </c>
      <c r="G40" s="148">
        <f t="shared" si="0"/>
        <v>0</v>
      </c>
      <c r="H40" s="149">
        <f t="shared" si="0"/>
        <v>0</v>
      </c>
      <c r="I40" s="23"/>
      <c r="J40" s="23"/>
    </row>
    <row r="41" spans="1:10" ht="31.5" customHeight="1" x14ac:dyDescent="0.25">
      <c r="A41" s="35"/>
      <c r="B41" s="57"/>
      <c r="C41" s="150">
        <f>+AVERAGE(C29:C30)</f>
        <v>0</v>
      </c>
      <c r="D41" s="151">
        <f t="shared" ref="D41:H41" si="1">+AVERAGE(D29:D30)</f>
        <v>0</v>
      </c>
      <c r="E41" s="151">
        <f t="shared" si="1"/>
        <v>0</v>
      </c>
      <c r="F41" s="151">
        <f t="shared" si="1"/>
        <v>0</v>
      </c>
      <c r="G41" s="151">
        <f t="shared" si="1"/>
        <v>0</v>
      </c>
      <c r="H41" s="152">
        <f t="shared" si="1"/>
        <v>0</v>
      </c>
      <c r="I41" s="23"/>
      <c r="J41" s="23"/>
    </row>
    <row r="42" spans="1:10" ht="31.5" customHeight="1" thickBot="1" x14ac:dyDescent="0.3">
      <c r="A42" s="35"/>
      <c r="B42" s="58"/>
      <c r="C42" s="156">
        <f>+C41-C40</f>
        <v>0</v>
      </c>
      <c r="D42" s="99">
        <f t="shared" ref="D42:H42" si="2">+D41-D40</f>
        <v>0</v>
      </c>
      <c r="E42" s="99">
        <f t="shared" si="2"/>
        <v>0</v>
      </c>
      <c r="F42" s="99">
        <f t="shared" si="2"/>
        <v>0</v>
      </c>
      <c r="G42" s="99">
        <f t="shared" si="2"/>
        <v>0</v>
      </c>
      <c r="H42" s="157">
        <f t="shared" si="2"/>
        <v>0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0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0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20.6</v>
      </c>
      <c r="E48" s="23"/>
      <c r="F48" s="413" t="s">
        <v>80</v>
      </c>
      <c r="G48" s="414"/>
      <c r="H48" s="110">
        <f>+(0.34848*D50-0.009024*D49*EXP(0.0612*D48))/(273.15+D48)</f>
        <v>0.88539735798526076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57</v>
      </c>
      <c r="E49" s="23"/>
      <c r="F49" s="452" t="s">
        <v>82</v>
      </c>
      <c r="G49" s="453"/>
      <c r="H49" s="111">
        <f>+H48*((0.001)^2+(0.0001*I20/2)^2+(-0.0034*D20/2)^2+(-0.1*G20/2)^2)^0.5</f>
        <v>7.5264585547759569E-2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751.55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0</v>
      </c>
      <c r="C54" s="127" t="s">
        <v>1</v>
      </c>
      <c r="D54" s="121">
        <f>+C11+C12/1000</f>
        <v>2000.0011999999999</v>
      </c>
      <c r="E54" s="127" t="s">
        <v>1</v>
      </c>
      <c r="F54" s="121">
        <f>+(H48-H50)*(1/H11-1/C14)</f>
        <v>-2.4732912108076705E-7</v>
      </c>
      <c r="G54" s="128"/>
      <c r="H54" s="65">
        <f>+(B54+D54*F54)*1000</f>
        <v>-0.49465853895647943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0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0.5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0.57735026918962584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0.76376261582597338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7.5264585547759569E-2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0.69183639331509506</v>
      </c>
      <c r="D66" s="94" t="s">
        <v>3</v>
      </c>
      <c r="E66" s="75"/>
      <c r="F66" s="442" t="s">
        <v>101</v>
      </c>
      <c r="G66" s="443"/>
      <c r="H66" s="129">
        <f>+SQRT(SUMSQ(C59,C62,C66,C67))</f>
        <v>4.2105388722959489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4.0824829046386304</v>
      </c>
      <c r="D67" s="66" t="s">
        <v>3</v>
      </c>
      <c r="E67" s="75"/>
      <c r="F67" s="407" t="s">
        <v>103</v>
      </c>
      <c r="G67" s="444"/>
      <c r="H67" s="65">
        <f>+H66*2</f>
        <v>8.4210777445918978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2000</v>
      </c>
      <c r="B73" s="119">
        <f>C12</f>
        <v>1.2</v>
      </c>
      <c r="C73" s="120">
        <f>H54</f>
        <v>-0.49465853895647943</v>
      </c>
      <c r="D73" s="121">
        <f>A73+B73/1000+C73/1000</f>
        <v>2000.0007053414611</v>
      </c>
      <c r="E73" s="107">
        <f>A73*1000-D73*1000</f>
        <v>-0.7053414611145854</v>
      </c>
      <c r="F73" s="107" t="s">
        <v>3</v>
      </c>
      <c r="G73" s="92">
        <f>D73+E73/1000</f>
        <v>2000</v>
      </c>
      <c r="H73" s="436"/>
      <c r="I73" s="209">
        <f>H67</f>
        <v>8.4210777445918978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83"/>
  <sheetViews>
    <sheetView showGridLines="0" view="pageBreakPreview" topLeftCell="A28" zoomScale="60" zoomScaleNormal="112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144</v>
      </c>
      <c r="E9" s="23"/>
      <c r="F9" s="24" t="s">
        <v>48</v>
      </c>
      <c r="G9" s="159">
        <v>11119515</v>
      </c>
      <c r="H9" s="26" t="s">
        <v>49</v>
      </c>
      <c r="I9" s="28" t="s">
        <v>204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2000</v>
      </c>
      <c r="D11" s="33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1.1000000000000001</v>
      </c>
      <c r="D12" s="33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9">
        <v>1</v>
      </c>
      <c r="D13" s="33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33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33" t="s">
        <v>112</v>
      </c>
      <c r="E15" s="34"/>
      <c r="F15" s="24" t="s">
        <v>24</v>
      </c>
      <c r="G15" s="243" t="s">
        <v>125</v>
      </c>
      <c r="H15" s="26" t="s">
        <v>48</v>
      </c>
      <c r="I15" s="29">
        <v>34508523</v>
      </c>
      <c r="J15" s="34"/>
    </row>
    <row r="16" spans="1:12" ht="31.5" customHeight="1" thickBot="1" x14ac:dyDescent="0.3">
      <c r="A16" s="404" t="s">
        <v>60</v>
      </c>
      <c r="B16" s="454"/>
      <c r="C16" s="37">
        <f>(0.34848*((752.597+755.909)/2)-0.009024*((44.5+51.2)/2)*EXP(0.0612*((19.7+20.8)/2)))/(273.15+((19.7+20.8)/2))</f>
        <v>0.89076687525312348</v>
      </c>
      <c r="D16" s="38" t="s">
        <v>112</v>
      </c>
      <c r="E16" s="23"/>
      <c r="F16" s="407" t="s">
        <v>61</v>
      </c>
      <c r="G16" s="444"/>
      <c r="H16" s="237">
        <v>0.01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 t="s">
        <v>239</v>
      </c>
      <c r="C24" s="420" t="s">
        <v>64</v>
      </c>
      <c r="D24" s="421"/>
      <c r="E24" s="47">
        <v>20.7</v>
      </c>
      <c r="F24" s="420" t="s">
        <v>65</v>
      </c>
      <c r="G24" s="421"/>
      <c r="H24" s="47">
        <v>57</v>
      </c>
      <c r="I24" s="48" t="s">
        <v>23</v>
      </c>
      <c r="J24" s="49">
        <v>751.4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23"/>
      <c r="J29" s="23"/>
    </row>
    <row r="30" spans="1:10" ht="31.5" customHeight="1" x14ac:dyDescent="0.25">
      <c r="A30" s="422"/>
      <c r="B30" s="135" t="s">
        <v>2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24.2</v>
      </c>
      <c r="F33" s="420" t="s">
        <v>65</v>
      </c>
      <c r="G33" s="421"/>
      <c r="H33" s="47">
        <v>47</v>
      </c>
      <c r="I33" s="48" t="s">
        <v>23</v>
      </c>
      <c r="J33" s="49">
        <v>748.5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47">
        <f>+AVERAGE(C28,C31)</f>
        <v>0</v>
      </c>
      <c r="D40" s="148">
        <f t="shared" ref="D40:H40" si="0">+AVERAGE(D28,D31)</f>
        <v>0</v>
      </c>
      <c r="E40" s="148">
        <f t="shared" si="0"/>
        <v>0</v>
      </c>
      <c r="F40" s="148">
        <f t="shared" si="0"/>
        <v>0</v>
      </c>
      <c r="G40" s="148">
        <f t="shared" si="0"/>
        <v>0</v>
      </c>
      <c r="H40" s="149">
        <f t="shared" si="0"/>
        <v>0</v>
      </c>
      <c r="I40" s="23"/>
      <c r="J40" s="23"/>
    </row>
    <row r="41" spans="1:10" ht="31.5" customHeight="1" x14ac:dyDescent="0.25">
      <c r="A41" s="35"/>
      <c r="B41" s="57"/>
      <c r="C41" s="150">
        <f>+AVERAGE(C29:C30)</f>
        <v>0</v>
      </c>
      <c r="D41" s="151">
        <f t="shared" ref="D41:H41" si="1">+AVERAGE(D29:D30)</f>
        <v>0</v>
      </c>
      <c r="E41" s="151">
        <f t="shared" si="1"/>
        <v>0</v>
      </c>
      <c r="F41" s="151">
        <f t="shared" si="1"/>
        <v>0</v>
      </c>
      <c r="G41" s="151">
        <f t="shared" si="1"/>
        <v>0</v>
      </c>
      <c r="H41" s="152">
        <f t="shared" si="1"/>
        <v>0</v>
      </c>
      <c r="I41" s="23"/>
      <c r="J41" s="23"/>
    </row>
    <row r="42" spans="1:10" ht="31.5" customHeight="1" thickBot="1" x14ac:dyDescent="0.3">
      <c r="A42" s="35"/>
      <c r="B42" s="58"/>
      <c r="C42" s="156">
        <f>+C41-C40</f>
        <v>0</v>
      </c>
      <c r="D42" s="99">
        <f t="shared" ref="D42:H42" si="2">+D41-D40</f>
        <v>0</v>
      </c>
      <c r="E42" s="99">
        <f t="shared" si="2"/>
        <v>0</v>
      </c>
      <c r="F42" s="99">
        <f t="shared" si="2"/>
        <v>0</v>
      </c>
      <c r="G42" s="99">
        <f t="shared" si="2"/>
        <v>0</v>
      </c>
      <c r="H42" s="157">
        <f t="shared" si="2"/>
        <v>0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0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0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22.45</v>
      </c>
      <c r="E48" s="23"/>
      <c r="F48" s="413" t="s">
        <v>80</v>
      </c>
      <c r="G48" s="414"/>
      <c r="H48" s="110">
        <f>+(0.34848*D50-0.009024*D49*EXP(0.0612*D48))/(273.15+D48)</f>
        <v>0.87783704459469758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52</v>
      </c>
      <c r="E49" s="23"/>
      <c r="F49" s="452" t="s">
        <v>82</v>
      </c>
      <c r="G49" s="453"/>
      <c r="H49" s="111">
        <f>+H48*((0.001)^2+(0.0001*I20/2)^2+(-0.0034*D20/2)^2+(-0.1*G20/2)^2)^0.5</f>
        <v>7.4621909297576561E-2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749.95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0</v>
      </c>
      <c r="C54" s="127" t="s">
        <v>1</v>
      </c>
      <c r="D54" s="121">
        <f>+C11+C12/1000</f>
        <v>2000.0011</v>
      </c>
      <c r="E54" s="127" t="s">
        <v>1</v>
      </c>
      <c r="F54" s="121">
        <f>+(H48-H50)*(1/H11-1/C14)</f>
        <v>-2.5327276368341097E-7</v>
      </c>
      <c r="G54" s="128"/>
      <c r="H54" s="65">
        <f>+(B54+D54*F54)*1000</f>
        <v>-0.50654580596686205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0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0.5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0.57735026918962584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0.76376261582597338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7.4621909297576561E-2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0.70855578385497653</v>
      </c>
      <c r="D66" s="94" t="s">
        <v>3</v>
      </c>
      <c r="E66" s="75"/>
      <c r="F66" s="442" t="s">
        <v>101</v>
      </c>
      <c r="G66" s="443"/>
      <c r="H66" s="129">
        <f>+SQRT(SUMSQ(C59,C62,C66,C67))</f>
        <v>4.2133183239383118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4.0824829046386304</v>
      </c>
      <c r="D67" s="66" t="s">
        <v>3</v>
      </c>
      <c r="E67" s="75"/>
      <c r="F67" s="407" t="s">
        <v>103</v>
      </c>
      <c r="G67" s="444"/>
      <c r="H67" s="65">
        <f>+H66*2</f>
        <v>8.4266366478766237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2000</v>
      </c>
      <c r="B73" s="119">
        <f>C12</f>
        <v>1.1000000000000001</v>
      </c>
      <c r="C73" s="120">
        <f>H54</f>
        <v>-0.50654580596686205</v>
      </c>
      <c r="D73" s="121">
        <f>A73+B73/1000+C73/1000</f>
        <v>2000.0005934541939</v>
      </c>
      <c r="E73" s="107">
        <f>A73*1000-D73*1000</f>
        <v>-0.59345419378951192</v>
      </c>
      <c r="F73" s="107" t="s">
        <v>3</v>
      </c>
      <c r="G73" s="92">
        <f>D73+E73/1000</f>
        <v>2000.0000000000002</v>
      </c>
      <c r="H73" s="436"/>
      <c r="I73" s="210">
        <f>H67</f>
        <v>8.4266366478766237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83"/>
  <sheetViews>
    <sheetView showGridLines="0" tabSelected="1" view="pageBreakPreview" zoomScaleNormal="100" zoomScaleSheetLayoutView="100" workbookViewId="0">
      <selection activeCell="L5" sqref="L5"/>
    </sheetView>
  </sheetViews>
  <sheetFormatPr baseColWidth="10" defaultRowHeight="31.5" customHeight="1" x14ac:dyDescent="0.2"/>
  <cols>
    <col min="1" max="1" width="12.28515625" style="268" customWidth="1"/>
    <col min="2" max="2" width="12" style="268" customWidth="1"/>
    <col min="3" max="3" width="11.42578125" style="268" customWidth="1"/>
    <col min="4" max="4" width="11.85546875" style="268" bestFit="1" customWidth="1"/>
    <col min="5" max="5" width="11.42578125" style="268"/>
    <col min="6" max="6" width="13.85546875" style="268" bestFit="1" customWidth="1"/>
    <col min="7" max="7" width="11.42578125" style="268"/>
    <col min="8" max="9" width="13.7109375" style="268" bestFit="1" customWidth="1"/>
    <col min="10" max="10" width="11.42578125" style="268"/>
    <col min="11" max="16384" width="11.42578125" style="251"/>
  </cols>
  <sheetData>
    <row r="1" spans="1:12" ht="47.25" customHeight="1" thickBot="1" x14ac:dyDescent="0.25">
      <c r="A1" s="523"/>
      <c r="B1" s="524"/>
      <c r="C1" s="525" t="s">
        <v>244</v>
      </c>
      <c r="D1" s="525"/>
      <c r="E1" s="525"/>
      <c r="F1" s="525"/>
      <c r="G1" s="525"/>
      <c r="H1" s="525"/>
      <c r="I1" s="525"/>
      <c r="J1" s="526"/>
    </row>
    <row r="2" spans="1:12" s="252" customFormat="1" ht="9.75" customHeight="1" thickBo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L2" s="253"/>
    </row>
    <row r="3" spans="1:12" s="252" customFormat="1" ht="34.5" customHeight="1" thickBot="1" x14ac:dyDescent="0.25">
      <c r="A3" s="269" t="s">
        <v>42</v>
      </c>
      <c r="B3" s="270"/>
      <c r="C3" s="271" t="s">
        <v>108</v>
      </c>
      <c r="D3" s="272"/>
      <c r="E3" s="273"/>
      <c r="F3" s="274" t="s">
        <v>43</v>
      </c>
      <c r="G3" s="564"/>
      <c r="H3" s="276" t="s">
        <v>44</v>
      </c>
      <c r="I3" s="254"/>
      <c r="J3" s="255"/>
      <c r="L3" s="253"/>
    </row>
    <row r="4" spans="1:12" s="252" customFormat="1" ht="13.5" customHeight="1" thickBot="1" x14ac:dyDescent="0.25">
      <c r="A4" s="277"/>
      <c r="B4" s="278"/>
      <c r="C4" s="277"/>
      <c r="D4" s="279"/>
      <c r="E4" s="280"/>
      <c r="F4" s="277"/>
      <c r="G4" s="281"/>
      <c r="H4" s="256"/>
      <c r="I4" s="256"/>
      <c r="J4" s="255"/>
      <c r="L4" s="253"/>
    </row>
    <row r="5" spans="1:12" ht="33" customHeight="1" thickBot="1" x14ac:dyDescent="0.25">
      <c r="A5" s="271" t="s">
        <v>288</v>
      </c>
      <c r="B5" s="275"/>
      <c r="C5" s="271" t="s">
        <v>289</v>
      </c>
      <c r="D5" s="282"/>
      <c r="E5" s="283"/>
      <c r="F5" s="271" t="s">
        <v>260</v>
      </c>
      <c r="G5" s="257"/>
      <c r="H5" s="271" t="s">
        <v>290</v>
      </c>
      <c r="I5" s="257"/>
      <c r="J5" s="255"/>
    </row>
    <row r="6" spans="1:12" s="258" customFormat="1" ht="6.75" customHeight="1" thickBot="1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2" ht="31.5" customHeight="1" x14ac:dyDescent="0.2">
      <c r="A7" s="528" t="s">
        <v>45</v>
      </c>
      <c r="B7" s="529"/>
      <c r="C7" s="529"/>
      <c r="D7" s="530"/>
      <c r="E7" s="259"/>
      <c r="F7" s="513" t="s">
        <v>46</v>
      </c>
      <c r="G7" s="514"/>
      <c r="H7" s="514"/>
      <c r="I7" s="515"/>
      <c r="J7" s="259"/>
    </row>
    <row r="8" spans="1:12" ht="31.5" customHeight="1" x14ac:dyDescent="0.2">
      <c r="A8" s="284" t="s">
        <v>47</v>
      </c>
      <c r="B8" s="260"/>
      <c r="C8" s="285" t="s">
        <v>24</v>
      </c>
      <c r="D8" s="286"/>
      <c r="E8" s="287"/>
      <c r="F8" s="284" t="s">
        <v>47</v>
      </c>
      <c r="G8" s="260"/>
      <c r="H8" s="285" t="s">
        <v>24</v>
      </c>
      <c r="I8" s="261"/>
      <c r="J8" s="259"/>
    </row>
    <row r="9" spans="1:12" ht="31.5" customHeight="1" x14ac:dyDescent="0.2">
      <c r="A9" s="284" t="s">
        <v>48</v>
      </c>
      <c r="B9" s="260"/>
      <c r="C9" s="285" t="s">
        <v>49</v>
      </c>
      <c r="D9" s="261"/>
      <c r="E9" s="287"/>
      <c r="F9" s="284" t="s">
        <v>48</v>
      </c>
      <c r="G9" s="262"/>
      <c r="H9" s="285" t="s">
        <v>49</v>
      </c>
      <c r="I9" s="261"/>
      <c r="J9" s="259"/>
    </row>
    <row r="10" spans="1:12" ht="31.5" customHeight="1" x14ac:dyDescent="0.2">
      <c r="A10" s="288" t="s">
        <v>50</v>
      </c>
      <c r="B10" s="260"/>
      <c r="C10" s="289" t="s">
        <v>51</v>
      </c>
      <c r="D10" s="290"/>
      <c r="E10" s="287"/>
      <c r="F10" s="510" t="s">
        <v>268</v>
      </c>
      <c r="G10" s="511"/>
      <c r="H10" s="260"/>
      <c r="I10" s="261"/>
      <c r="J10" s="259"/>
    </row>
    <row r="11" spans="1:12" s="264" customFormat="1" ht="31.5" customHeight="1" x14ac:dyDescent="0.25">
      <c r="A11" s="510" t="s">
        <v>269</v>
      </c>
      <c r="B11" s="511"/>
      <c r="C11" s="291"/>
      <c r="D11" s="261"/>
      <c r="E11" s="292"/>
      <c r="F11" s="510" t="s">
        <v>270</v>
      </c>
      <c r="G11" s="511"/>
      <c r="H11" s="260"/>
      <c r="I11" s="261"/>
      <c r="J11" s="263"/>
    </row>
    <row r="12" spans="1:12" s="264" customFormat="1" ht="31.5" customHeight="1" thickBot="1" x14ac:dyDescent="0.3">
      <c r="A12" s="510" t="s">
        <v>271</v>
      </c>
      <c r="B12" s="511"/>
      <c r="C12" s="291"/>
      <c r="D12" s="261"/>
      <c r="E12" s="292"/>
      <c r="F12" s="512" t="s">
        <v>272</v>
      </c>
      <c r="G12" s="509"/>
      <c r="H12" s="293"/>
      <c r="I12" s="294"/>
      <c r="J12" s="263"/>
    </row>
    <row r="13" spans="1:12" s="264" customFormat="1" ht="31.5" customHeight="1" thickBot="1" x14ac:dyDescent="0.3">
      <c r="A13" s="510" t="s">
        <v>273</v>
      </c>
      <c r="B13" s="511"/>
      <c r="C13" s="291"/>
      <c r="D13" s="261"/>
      <c r="E13" s="263"/>
      <c r="F13" s="263"/>
      <c r="G13" s="263"/>
      <c r="H13" s="263"/>
      <c r="I13" s="263"/>
      <c r="J13" s="263"/>
    </row>
    <row r="14" spans="1:12" s="264" customFormat="1" ht="31.5" customHeight="1" x14ac:dyDescent="0.25">
      <c r="A14" s="510" t="s">
        <v>274</v>
      </c>
      <c r="B14" s="511"/>
      <c r="C14" s="291"/>
      <c r="D14" s="261"/>
      <c r="E14" s="263"/>
      <c r="F14" s="513" t="s">
        <v>58</v>
      </c>
      <c r="G14" s="514"/>
      <c r="H14" s="514"/>
      <c r="I14" s="515"/>
      <c r="J14" s="263"/>
    </row>
    <row r="15" spans="1:12" s="264" customFormat="1" ht="31.5" customHeight="1" x14ac:dyDescent="0.25">
      <c r="A15" s="510" t="s">
        <v>275</v>
      </c>
      <c r="B15" s="511"/>
      <c r="C15" s="291"/>
      <c r="D15" s="261"/>
      <c r="E15" s="263"/>
      <c r="F15" s="284" t="s">
        <v>24</v>
      </c>
      <c r="G15" s="265"/>
      <c r="H15" s="285" t="s">
        <v>48</v>
      </c>
      <c r="I15" s="261"/>
      <c r="J15" s="263"/>
    </row>
    <row r="16" spans="1:12" ht="31.5" customHeight="1" thickBot="1" x14ac:dyDescent="0.25">
      <c r="A16" s="512" t="s">
        <v>276</v>
      </c>
      <c r="B16" s="516"/>
      <c r="C16" s="293"/>
      <c r="D16" s="294"/>
      <c r="E16" s="259"/>
      <c r="F16" s="517" t="s">
        <v>267</v>
      </c>
      <c r="G16" s="518"/>
      <c r="H16" s="293"/>
      <c r="I16" s="294"/>
      <c r="J16" s="259"/>
    </row>
    <row r="17" spans="1:10" s="258" customFormat="1" ht="6.75" customHeight="1" thickBot="1" x14ac:dyDescent="0.25">
      <c r="A17" s="259"/>
      <c r="B17" s="259"/>
      <c r="C17" s="259"/>
      <c r="D17" s="259"/>
      <c r="E17" s="259"/>
      <c r="F17" s="259"/>
      <c r="G17" s="259"/>
      <c r="H17" s="259"/>
      <c r="I17" s="259"/>
      <c r="J17" s="259"/>
    </row>
    <row r="18" spans="1:10" ht="31.5" customHeight="1" thickBot="1" x14ac:dyDescent="0.25">
      <c r="A18" s="519" t="s">
        <v>62</v>
      </c>
      <c r="B18" s="520"/>
      <c r="C18" s="520"/>
      <c r="D18" s="520"/>
      <c r="E18" s="520"/>
      <c r="F18" s="520"/>
      <c r="G18" s="520"/>
      <c r="H18" s="520"/>
      <c r="I18" s="520"/>
      <c r="J18" s="521"/>
    </row>
    <row r="19" spans="1:10" ht="31.5" customHeight="1" x14ac:dyDescent="0.2">
      <c r="A19" s="295" t="s">
        <v>24</v>
      </c>
      <c r="B19" s="262"/>
      <c r="C19" s="296" t="s">
        <v>17</v>
      </c>
      <c r="D19" s="297"/>
      <c r="E19" s="296" t="s">
        <v>50</v>
      </c>
      <c r="F19" s="522"/>
      <c r="G19" s="522"/>
      <c r="H19" s="296" t="s">
        <v>51</v>
      </c>
      <c r="I19" s="290"/>
      <c r="J19" s="266"/>
    </row>
    <row r="20" spans="1:10" ht="31.5" customHeight="1" thickBot="1" x14ac:dyDescent="0.25">
      <c r="A20" s="507" t="s">
        <v>63</v>
      </c>
      <c r="B20" s="508"/>
      <c r="C20" s="386" t="s">
        <v>64</v>
      </c>
      <c r="D20" s="298"/>
      <c r="E20" s="509" t="s">
        <v>65</v>
      </c>
      <c r="F20" s="509"/>
      <c r="G20" s="298"/>
      <c r="H20" s="267" t="s">
        <v>23</v>
      </c>
      <c r="I20" s="299"/>
      <c r="J20" s="266"/>
    </row>
    <row r="21" spans="1:10" s="301" customFormat="1" ht="15" customHeight="1" thickBot="1" x14ac:dyDescent="0.25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s="302" customFormat="1" ht="31.5" customHeight="1" thickBot="1" x14ac:dyDescent="0.25">
      <c r="A22" s="471" t="s">
        <v>66</v>
      </c>
      <c r="B22" s="472"/>
      <c r="C22" s="472"/>
      <c r="D22" s="472"/>
      <c r="E22" s="472"/>
      <c r="F22" s="472"/>
      <c r="G22" s="472"/>
      <c r="H22" s="472"/>
      <c r="I22" s="472"/>
      <c r="J22" s="473"/>
    </row>
    <row r="23" spans="1:10" s="300" customFormat="1" ht="2.25" customHeight="1" thickBot="1" x14ac:dyDescent="0.25">
      <c r="A23" s="303"/>
      <c r="B23" s="304"/>
      <c r="C23" s="304"/>
      <c r="D23" s="304"/>
      <c r="E23" s="304"/>
      <c r="F23" s="304"/>
      <c r="G23" s="304"/>
      <c r="H23" s="304"/>
      <c r="I23" s="304"/>
      <c r="J23" s="305"/>
    </row>
    <row r="24" spans="1:10" s="302" customFormat="1" ht="31.5" customHeight="1" thickBot="1" x14ac:dyDescent="0.25">
      <c r="A24" s="306" t="s">
        <v>67</v>
      </c>
      <c r="B24" s="307"/>
      <c r="C24" s="498" t="s">
        <v>64</v>
      </c>
      <c r="D24" s="499"/>
      <c r="E24" s="307"/>
      <c r="F24" s="498" t="s">
        <v>65</v>
      </c>
      <c r="G24" s="499"/>
      <c r="H24" s="307"/>
      <c r="I24" s="308" t="s">
        <v>23</v>
      </c>
      <c r="J24" s="309"/>
    </row>
    <row r="25" spans="1:10" s="301" customFormat="1" ht="15" customHeight="1" thickBot="1" x14ac:dyDescent="0.25">
      <c r="A25" s="300"/>
      <c r="B25" s="300"/>
      <c r="C25" s="300"/>
      <c r="D25" s="300"/>
      <c r="E25" s="300"/>
      <c r="F25" s="300"/>
      <c r="G25" s="300"/>
      <c r="H25" s="300"/>
      <c r="I25" s="300"/>
      <c r="J25" s="300"/>
    </row>
    <row r="26" spans="1:10" s="302" customFormat="1" ht="31.5" customHeight="1" x14ac:dyDescent="0.2">
      <c r="A26" s="310" t="s">
        <v>68</v>
      </c>
      <c r="B26" s="311">
        <v>6</v>
      </c>
      <c r="C26" s="500" t="s">
        <v>69</v>
      </c>
      <c r="D26" s="500"/>
      <c r="E26" s="500"/>
      <c r="F26" s="500"/>
      <c r="G26" s="500"/>
      <c r="H26" s="501"/>
      <c r="I26" s="300"/>
      <c r="J26" s="300"/>
    </row>
    <row r="27" spans="1:10" s="302" customFormat="1" ht="31.5" customHeight="1" x14ac:dyDescent="0.2">
      <c r="A27" s="502" t="s">
        <v>70</v>
      </c>
      <c r="B27" s="503"/>
      <c r="C27" s="312">
        <v>1</v>
      </c>
      <c r="D27" s="312">
        <v>2</v>
      </c>
      <c r="E27" s="312">
        <v>3</v>
      </c>
      <c r="F27" s="312">
        <v>4</v>
      </c>
      <c r="G27" s="312">
        <v>5</v>
      </c>
      <c r="H27" s="313">
        <v>6</v>
      </c>
      <c r="I27" s="300"/>
      <c r="J27" s="300"/>
    </row>
    <row r="28" spans="1:10" s="302" customFormat="1" ht="31.5" customHeight="1" x14ac:dyDescent="0.2">
      <c r="A28" s="502" t="s">
        <v>71</v>
      </c>
      <c r="B28" s="312" t="s">
        <v>0</v>
      </c>
      <c r="C28" s="314"/>
      <c r="D28" s="314"/>
      <c r="E28" s="314"/>
      <c r="F28" s="314"/>
      <c r="G28" s="314"/>
      <c r="H28" s="315"/>
      <c r="I28" s="300"/>
      <c r="J28" s="300"/>
    </row>
    <row r="29" spans="1:10" s="302" customFormat="1" ht="31.5" customHeight="1" x14ac:dyDescent="0.2">
      <c r="A29" s="502"/>
      <c r="B29" s="312" t="s">
        <v>2</v>
      </c>
      <c r="C29" s="314"/>
      <c r="D29" s="314"/>
      <c r="E29" s="314"/>
      <c r="F29" s="314"/>
      <c r="G29" s="314"/>
      <c r="H29" s="315"/>
      <c r="I29" s="300"/>
      <c r="J29" s="300"/>
    </row>
    <row r="30" spans="1:10" s="302" customFormat="1" ht="31.5" customHeight="1" x14ac:dyDescent="0.2">
      <c r="A30" s="502"/>
      <c r="B30" s="312" t="s">
        <v>2</v>
      </c>
      <c r="C30" s="314"/>
      <c r="D30" s="314"/>
      <c r="E30" s="314"/>
      <c r="F30" s="314"/>
      <c r="G30" s="314"/>
      <c r="H30" s="315"/>
      <c r="I30" s="300"/>
      <c r="J30" s="300"/>
    </row>
    <row r="31" spans="1:10" s="302" customFormat="1" ht="31.5" customHeight="1" thickBot="1" x14ac:dyDescent="0.25">
      <c r="A31" s="504"/>
      <c r="B31" s="316" t="s">
        <v>0</v>
      </c>
      <c r="C31" s="317"/>
      <c r="D31" s="317"/>
      <c r="E31" s="317"/>
      <c r="F31" s="317"/>
      <c r="G31" s="317"/>
      <c r="H31" s="318"/>
      <c r="I31" s="300"/>
      <c r="J31" s="300"/>
    </row>
    <row r="32" spans="1:10" s="301" customFormat="1" ht="15" customHeight="1" thickBot="1" x14ac:dyDescent="0.25">
      <c r="A32" s="300"/>
      <c r="B32" s="300"/>
      <c r="C32" s="300"/>
      <c r="D32" s="300"/>
      <c r="E32" s="300"/>
      <c r="F32" s="300"/>
      <c r="G32" s="300"/>
      <c r="H32" s="300"/>
      <c r="I32" s="300"/>
      <c r="J32" s="319"/>
    </row>
    <row r="33" spans="1:10" s="302" customFormat="1" ht="31.5" customHeight="1" thickBot="1" x14ac:dyDescent="0.25">
      <c r="A33" s="306" t="s">
        <v>72</v>
      </c>
      <c r="B33" s="307"/>
      <c r="C33" s="498" t="s">
        <v>64</v>
      </c>
      <c r="D33" s="499"/>
      <c r="E33" s="307"/>
      <c r="F33" s="498" t="s">
        <v>65</v>
      </c>
      <c r="G33" s="499"/>
      <c r="H33" s="307"/>
      <c r="I33" s="308" t="s">
        <v>23</v>
      </c>
      <c r="J33" s="309"/>
    </row>
    <row r="34" spans="1:10" s="301" customFormat="1" ht="12" customHeight="1" x14ac:dyDescent="0.2">
      <c r="A34" s="320"/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0" s="302" customFormat="1" ht="15" customHeight="1" thickBot="1" x14ac:dyDescent="0.25">
      <c r="A35" s="319"/>
      <c r="B35" s="319"/>
      <c r="C35" s="319"/>
      <c r="D35" s="319"/>
      <c r="E35" s="319"/>
      <c r="F35" s="319"/>
      <c r="G35" s="319"/>
      <c r="H35" s="319"/>
      <c r="I35" s="319"/>
      <c r="J35" s="319"/>
    </row>
    <row r="36" spans="1:10" s="302" customFormat="1" ht="32.25" customHeight="1" thickBot="1" x14ac:dyDescent="0.25">
      <c r="A36" s="471" t="s">
        <v>73</v>
      </c>
      <c r="B36" s="472"/>
      <c r="C36" s="472"/>
      <c r="D36" s="472"/>
      <c r="E36" s="472"/>
      <c r="F36" s="472"/>
      <c r="G36" s="472"/>
      <c r="H36" s="472"/>
      <c r="I36" s="472"/>
      <c r="J36" s="473"/>
    </row>
    <row r="37" spans="1:10" s="302" customFormat="1" ht="3.75" customHeight="1" thickBot="1" x14ac:dyDescent="0.25">
      <c r="A37" s="320"/>
      <c r="B37" s="300"/>
      <c r="C37" s="300"/>
      <c r="D37" s="300"/>
      <c r="E37" s="300"/>
      <c r="F37" s="300"/>
      <c r="G37" s="300"/>
      <c r="H37" s="300"/>
      <c r="I37" s="300"/>
      <c r="J37" s="320"/>
    </row>
    <row r="38" spans="1:10" s="302" customFormat="1" ht="31.5" customHeight="1" x14ac:dyDescent="0.2">
      <c r="A38" s="300"/>
      <c r="B38" s="505" t="s">
        <v>74</v>
      </c>
      <c r="C38" s="500"/>
      <c r="D38" s="500"/>
      <c r="E38" s="500"/>
      <c r="F38" s="500"/>
      <c r="G38" s="500"/>
      <c r="H38" s="501"/>
      <c r="I38" s="300"/>
      <c r="J38" s="300"/>
    </row>
    <row r="39" spans="1:10" s="302" customFormat="1" ht="31.5" customHeight="1" x14ac:dyDescent="0.2">
      <c r="A39" s="300"/>
      <c r="B39" s="321" t="s">
        <v>70</v>
      </c>
      <c r="C39" s="312">
        <v>1</v>
      </c>
      <c r="D39" s="312">
        <v>2</v>
      </c>
      <c r="E39" s="312">
        <v>3</v>
      </c>
      <c r="F39" s="312">
        <v>4</v>
      </c>
      <c r="G39" s="312">
        <v>5</v>
      </c>
      <c r="H39" s="313">
        <v>6</v>
      </c>
      <c r="I39" s="300"/>
      <c r="J39" s="300"/>
    </row>
    <row r="40" spans="1:10" s="302" customFormat="1" ht="31.5" customHeight="1" x14ac:dyDescent="0.2">
      <c r="A40" s="322"/>
      <c r="B40" s="321"/>
      <c r="C40" s="323" t="e">
        <f>+AVERAGE(C28,C31)</f>
        <v>#DIV/0!</v>
      </c>
      <c r="D40" s="323" t="e">
        <f t="shared" ref="D40:H40" si="0">+AVERAGE(D28,D31)</f>
        <v>#DIV/0!</v>
      </c>
      <c r="E40" s="323" t="e">
        <f t="shared" si="0"/>
        <v>#DIV/0!</v>
      </c>
      <c r="F40" s="323" t="e">
        <f t="shared" si="0"/>
        <v>#DIV/0!</v>
      </c>
      <c r="G40" s="323" t="e">
        <f t="shared" si="0"/>
        <v>#DIV/0!</v>
      </c>
      <c r="H40" s="324" t="e">
        <f t="shared" si="0"/>
        <v>#DIV/0!</v>
      </c>
      <c r="I40" s="300"/>
      <c r="J40" s="300"/>
    </row>
    <row r="41" spans="1:10" s="302" customFormat="1" ht="31.5" customHeight="1" x14ac:dyDescent="0.2">
      <c r="A41" s="322"/>
      <c r="B41" s="321"/>
      <c r="C41" s="323" t="e">
        <f>+AVERAGE(C29:C30)</f>
        <v>#DIV/0!</v>
      </c>
      <c r="D41" s="323" t="e">
        <f t="shared" ref="D41:H41" si="1">+AVERAGE(D29:D30)</f>
        <v>#DIV/0!</v>
      </c>
      <c r="E41" s="323" t="e">
        <f t="shared" si="1"/>
        <v>#DIV/0!</v>
      </c>
      <c r="F41" s="323" t="e">
        <f t="shared" si="1"/>
        <v>#DIV/0!</v>
      </c>
      <c r="G41" s="323" t="e">
        <f t="shared" si="1"/>
        <v>#DIV/0!</v>
      </c>
      <c r="H41" s="324" t="e">
        <f t="shared" si="1"/>
        <v>#DIV/0!</v>
      </c>
      <c r="I41" s="300"/>
      <c r="J41" s="300"/>
    </row>
    <row r="42" spans="1:10" s="302" customFormat="1" ht="31.5" customHeight="1" thickBot="1" x14ac:dyDescent="0.25">
      <c r="A42" s="322"/>
      <c r="B42" s="325"/>
      <c r="C42" s="326" t="e">
        <f>+C41-C40</f>
        <v>#DIV/0!</v>
      </c>
      <c r="D42" s="327" t="e">
        <f t="shared" ref="D42:H42" si="2">+D41-D40</f>
        <v>#DIV/0!</v>
      </c>
      <c r="E42" s="327" t="e">
        <f t="shared" si="2"/>
        <v>#DIV/0!</v>
      </c>
      <c r="F42" s="327" t="e">
        <f t="shared" si="2"/>
        <v>#DIV/0!</v>
      </c>
      <c r="G42" s="327" t="e">
        <f t="shared" si="2"/>
        <v>#DIV/0!</v>
      </c>
      <c r="H42" s="328" t="e">
        <f t="shared" si="2"/>
        <v>#DIV/0!</v>
      </c>
      <c r="I42" s="300"/>
      <c r="J42" s="300"/>
    </row>
    <row r="43" spans="1:10" s="302" customFormat="1" ht="31.5" customHeight="1" x14ac:dyDescent="0.2">
      <c r="A43" s="300"/>
      <c r="B43" s="329" t="s">
        <v>75</v>
      </c>
      <c r="C43" s="330" t="e">
        <f>+AVERAGE(C42:H42)</f>
        <v>#DIV/0!</v>
      </c>
      <c r="D43" s="300"/>
      <c r="E43" s="300"/>
      <c r="F43" s="300"/>
      <c r="G43" s="300"/>
      <c r="H43" s="300"/>
      <c r="I43" s="300"/>
      <c r="J43" s="300"/>
    </row>
    <row r="44" spans="1:10" s="302" customFormat="1" ht="31.5" customHeight="1" thickBot="1" x14ac:dyDescent="0.25">
      <c r="A44" s="300"/>
      <c r="B44" s="331" t="s">
        <v>277</v>
      </c>
      <c r="C44" s="332" t="e">
        <f>+STDEV(C42:H42)</f>
        <v>#DIV/0!</v>
      </c>
      <c r="D44" s="300"/>
      <c r="E44" s="300"/>
      <c r="F44" s="300"/>
      <c r="G44" s="300"/>
      <c r="H44" s="300"/>
      <c r="I44" s="300"/>
      <c r="J44" s="300"/>
    </row>
    <row r="45" spans="1:10" s="301" customFormat="1" ht="15" customHeight="1" x14ac:dyDescent="0.2">
      <c r="A45" s="300"/>
      <c r="B45" s="300"/>
      <c r="C45" s="300"/>
      <c r="D45" s="300"/>
      <c r="E45" s="300"/>
      <c r="F45" s="300"/>
      <c r="G45" s="333"/>
      <c r="H45" s="300"/>
      <c r="I45" s="300"/>
      <c r="J45" s="300"/>
    </row>
    <row r="46" spans="1:10" s="302" customFormat="1" ht="31.5" customHeight="1" thickBot="1" x14ac:dyDescent="0.25">
      <c r="A46" s="506" t="s">
        <v>77</v>
      </c>
      <c r="B46" s="506"/>
      <c r="C46" s="506"/>
      <c r="D46" s="506"/>
      <c r="E46" s="506"/>
      <c r="F46" s="506"/>
      <c r="G46" s="506"/>
      <c r="H46" s="506"/>
      <c r="I46" s="506"/>
      <c r="J46" s="506"/>
    </row>
    <row r="47" spans="1:10" s="302" customFormat="1" ht="31.5" customHeight="1" thickBot="1" x14ac:dyDescent="0.25">
      <c r="A47" s="300"/>
      <c r="B47" s="496" t="s">
        <v>78</v>
      </c>
      <c r="C47" s="497"/>
      <c r="D47" s="334" t="s">
        <v>79</v>
      </c>
      <c r="E47" s="300"/>
      <c r="F47" s="300"/>
      <c r="G47" s="300"/>
      <c r="H47" s="333"/>
      <c r="I47" s="300"/>
      <c r="J47" s="300"/>
    </row>
    <row r="48" spans="1:10" s="302" customFormat="1" ht="31.5" customHeight="1" x14ac:dyDescent="0.2">
      <c r="A48" s="300"/>
      <c r="B48" s="486" t="s">
        <v>64</v>
      </c>
      <c r="C48" s="487"/>
      <c r="D48" s="335" t="e">
        <f>+AVERAGE(E33,E24)</f>
        <v>#DIV/0!</v>
      </c>
      <c r="E48" s="300"/>
      <c r="F48" s="488" t="s">
        <v>278</v>
      </c>
      <c r="G48" s="489"/>
      <c r="H48" s="336" t="e">
        <f>+(0.34848*D50-0.009024*D49*EXP(0.0612*D48))/(273.15+D48)</f>
        <v>#DIV/0!</v>
      </c>
      <c r="I48" s="337" t="s">
        <v>279</v>
      </c>
      <c r="J48" s="300"/>
    </row>
    <row r="49" spans="1:10" s="302" customFormat="1" ht="31.5" customHeight="1" x14ac:dyDescent="0.2">
      <c r="A49" s="300"/>
      <c r="B49" s="486" t="s">
        <v>65</v>
      </c>
      <c r="C49" s="487"/>
      <c r="D49" s="335" t="e">
        <f>+AVERAGE(H33,H24)</f>
        <v>#DIV/0!</v>
      </c>
      <c r="E49" s="300"/>
      <c r="F49" s="490" t="s">
        <v>280</v>
      </c>
      <c r="G49" s="491"/>
      <c r="H49" s="338" t="e">
        <f>+H48*((0.001)^2+(0.0001*I20/2)^2+(-0.0034*D20/2)^2+(-0.1*G20/2)^2)^0.5</f>
        <v>#DIV/0!</v>
      </c>
      <c r="I49" s="339" t="s">
        <v>279</v>
      </c>
      <c r="J49" s="300"/>
    </row>
    <row r="50" spans="1:10" s="302" customFormat="1" ht="31.5" customHeight="1" thickBot="1" x14ac:dyDescent="0.25">
      <c r="A50" s="300"/>
      <c r="B50" s="492" t="s">
        <v>23</v>
      </c>
      <c r="C50" s="493"/>
      <c r="D50" s="340" t="e">
        <f>+AVERAGE(J33,J24)</f>
        <v>#DIV/0!</v>
      </c>
      <c r="E50" s="300"/>
      <c r="F50" s="494" t="s">
        <v>281</v>
      </c>
      <c r="G50" s="495"/>
      <c r="H50" s="341">
        <v>1.2</v>
      </c>
      <c r="I50" s="342" t="s">
        <v>279</v>
      </c>
      <c r="J50" s="300"/>
    </row>
    <row r="51" spans="1:10" s="301" customFormat="1" ht="15" customHeight="1" thickBot="1" x14ac:dyDescent="0.25">
      <c r="A51" s="300"/>
      <c r="B51" s="300"/>
      <c r="C51" s="300"/>
      <c r="D51" s="300"/>
      <c r="E51" s="300"/>
      <c r="F51" s="300"/>
      <c r="G51" s="300"/>
      <c r="H51" s="300"/>
      <c r="I51" s="300"/>
      <c r="J51" s="300"/>
    </row>
    <row r="52" spans="1:10" s="302" customFormat="1" ht="31.5" customHeight="1" thickBot="1" x14ac:dyDescent="0.25">
      <c r="A52" s="465" t="s">
        <v>84</v>
      </c>
      <c r="B52" s="466"/>
      <c r="C52" s="466"/>
      <c r="D52" s="466"/>
      <c r="E52" s="466"/>
      <c r="F52" s="466"/>
      <c r="G52" s="466"/>
      <c r="H52" s="466"/>
      <c r="I52" s="466"/>
      <c r="J52" s="467"/>
    </row>
    <row r="53" spans="1:10" s="302" customFormat="1" ht="31.5" customHeight="1" x14ac:dyDescent="0.35">
      <c r="A53" s="300"/>
      <c r="B53" s="343" t="s">
        <v>85</v>
      </c>
      <c r="C53" s="344"/>
      <c r="D53" s="468" t="s">
        <v>282</v>
      </c>
      <c r="E53" s="468"/>
      <c r="F53" s="345" t="s">
        <v>87</v>
      </c>
      <c r="G53" s="346" t="s">
        <v>88</v>
      </c>
      <c r="H53" s="469" t="s">
        <v>89</v>
      </c>
      <c r="I53" s="470"/>
      <c r="J53" s="300"/>
    </row>
    <row r="54" spans="1:10" s="302" customFormat="1" ht="31.5" customHeight="1" thickBot="1" x14ac:dyDescent="0.25">
      <c r="A54" s="300"/>
      <c r="B54" s="347" t="e">
        <f>+C43</f>
        <v>#DIV/0!</v>
      </c>
      <c r="C54" s="348" t="s">
        <v>1</v>
      </c>
      <c r="D54" s="349">
        <f>+C11+C12/1000</f>
        <v>0</v>
      </c>
      <c r="E54" s="348" t="s">
        <v>1</v>
      </c>
      <c r="F54" s="349" t="e">
        <f>+(H48-H50)*(1/H11-1/C14)</f>
        <v>#DIV/0!</v>
      </c>
      <c r="G54" s="350"/>
      <c r="H54" s="341" t="e">
        <f>+(B54+D54*F54)*1000</f>
        <v>#DIV/0!</v>
      </c>
      <c r="I54" s="342" t="s">
        <v>3</v>
      </c>
      <c r="J54" s="300"/>
    </row>
    <row r="55" spans="1:10" s="301" customFormat="1" ht="15" customHeight="1" thickBot="1" x14ac:dyDescent="0.25">
      <c r="A55" s="300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s="302" customFormat="1" ht="31.5" customHeight="1" thickBot="1" x14ac:dyDescent="0.25">
      <c r="A56" s="471" t="s">
        <v>90</v>
      </c>
      <c r="B56" s="472"/>
      <c r="C56" s="472"/>
      <c r="D56" s="472"/>
      <c r="E56" s="472"/>
      <c r="F56" s="472"/>
      <c r="G56" s="472"/>
      <c r="H56" s="472"/>
      <c r="I56" s="472"/>
      <c r="J56" s="473"/>
    </row>
    <row r="57" spans="1:10" s="301" customFormat="1" ht="15" customHeight="1" thickBot="1" x14ac:dyDescent="0.25">
      <c r="A57" s="300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s="302" customFormat="1" ht="31.5" customHeight="1" x14ac:dyDescent="0.2">
      <c r="A58" s="474" t="s">
        <v>78</v>
      </c>
      <c r="B58" s="475"/>
      <c r="C58" s="476" t="s">
        <v>91</v>
      </c>
      <c r="D58" s="477"/>
      <c r="E58" s="351"/>
      <c r="F58" s="300"/>
      <c r="G58" s="300"/>
      <c r="H58" s="300"/>
      <c r="I58" s="300"/>
      <c r="J58" s="300"/>
    </row>
    <row r="59" spans="1:10" s="302" customFormat="1" ht="31.5" customHeight="1" x14ac:dyDescent="0.2">
      <c r="A59" s="352" t="s">
        <v>92</v>
      </c>
      <c r="B59" s="353"/>
      <c r="C59" s="354" t="e">
        <f>+C44/B26^0.5*1000</f>
        <v>#DIV/0!</v>
      </c>
      <c r="D59" s="355" t="s">
        <v>3</v>
      </c>
      <c r="E59" s="356"/>
      <c r="F59" s="356"/>
      <c r="G59" s="300"/>
      <c r="H59" s="300"/>
      <c r="I59" s="300"/>
      <c r="J59" s="300"/>
    </row>
    <row r="60" spans="1:10" s="302" customFormat="1" ht="31.5" customHeight="1" x14ac:dyDescent="0.2">
      <c r="A60" s="357" t="s">
        <v>93</v>
      </c>
      <c r="B60" s="358" t="s">
        <v>94</v>
      </c>
      <c r="C60" s="359">
        <f>+C13/2</f>
        <v>0</v>
      </c>
      <c r="D60" s="360" t="s">
        <v>3</v>
      </c>
      <c r="E60" s="356"/>
      <c r="F60" s="356"/>
      <c r="G60" s="300"/>
      <c r="H60" s="300"/>
      <c r="I60" s="300"/>
      <c r="J60" s="300"/>
    </row>
    <row r="61" spans="1:10" s="302" customFormat="1" ht="31.5" customHeight="1" x14ac:dyDescent="0.2">
      <c r="A61" s="361" t="s">
        <v>95</v>
      </c>
      <c r="B61" s="362"/>
      <c r="C61" s="363">
        <f>+C13/3^0.5</f>
        <v>0</v>
      </c>
      <c r="D61" s="360" t="s">
        <v>3</v>
      </c>
      <c r="E61" s="356"/>
      <c r="F61" s="356"/>
      <c r="G61" s="300"/>
      <c r="H61" s="300"/>
      <c r="I61" s="300"/>
      <c r="J61" s="300"/>
    </row>
    <row r="62" spans="1:10" s="302" customFormat="1" ht="31.5" customHeight="1" x14ac:dyDescent="0.25">
      <c r="A62" s="364" t="s">
        <v>96</v>
      </c>
      <c r="B62" s="365"/>
      <c r="C62" s="366">
        <f>+SQRT(SUMSQ(C60:C61))</f>
        <v>0</v>
      </c>
      <c r="D62" s="355" t="s">
        <v>3</v>
      </c>
      <c r="E62" s="356"/>
      <c r="F62" s="356"/>
      <c r="G62" s="300"/>
      <c r="H62" s="300"/>
      <c r="I62" s="300"/>
      <c r="J62" s="300"/>
    </row>
    <row r="63" spans="1:10" s="302" customFormat="1" ht="31.5" customHeight="1" x14ac:dyDescent="0.2">
      <c r="A63" s="357" t="s">
        <v>97</v>
      </c>
      <c r="B63" s="358"/>
      <c r="C63" s="363" t="e">
        <f>+H49</f>
        <v>#DIV/0!</v>
      </c>
      <c r="D63" s="360" t="s">
        <v>279</v>
      </c>
      <c r="E63" s="300"/>
      <c r="F63" s="300"/>
      <c r="G63" s="300"/>
      <c r="H63" s="300"/>
      <c r="I63" s="300"/>
      <c r="J63" s="300"/>
    </row>
    <row r="64" spans="1:10" s="302" customFormat="1" ht="31.5" customHeight="1" x14ac:dyDescent="0.2">
      <c r="A64" s="357" t="s">
        <v>98</v>
      </c>
      <c r="B64" s="358"/>
      <c r="C64" s="367">
        <f>+H12/2</f>
        <v>0</v>
      </c>
      <c r="D64" s="360" t="s">
        <v>279</v>
      </c>
      <c r="E64" s="300"/>
      <c r="F64" s="300"/>
      <c r="G64" s="300"/>
      <c r="H64" s="300"/>
      <c r="I64" s="300"/>
      <c r="J64" s="300"/>
    </row>
    <row r="65" spans="1:10" s="302" customFormat="1" ht="31.5" customHeight="1" thickBot="1" x14ac:dyDescent="0.25">
      <c r="A65" s="357" t="s">
        <v>99</v>
      </c>
      <c r="B65" s="358"/>
      <c r="C65" s="367">
        <f>+C15/2</f>
        <v>0</v>
      </c>
      <c r="D65" s="360" t="s">
        <v>279</v>
      </c>
      <c r="E65" s="300"/>
      <c r="F65" s="300"/>
      <c r="G65" s="300"/>
      <c r="H65" s="300"/>
      <c r="I65" s="300"/>
      <c r="J65" s="300"/>
    </row>
    <row r="66" spans="1:10" s="302" customFormat="1" ht="31.5" customHeight="1" x14ac:dyDescent="0.25">
      <c r="A66" s="364" t="s">
        <v>100</v>
      </c>
      <c r="B66" s="365"/>
      <c r="C66" s="366" t="e">
        <f>+SQRT(ABS(((C11/1000+C12/1000000)*(C14-H11)/(C14*H11)*C63)^2+((C11/1000+C12/1000000)*(H48-H50))^2*C64^2/H11^4+(C11/1000+C12/1000000)^2*(H48-H50)*((H48-H50)-2*(C16-H50))*C65^2/C14^4))*1000000</f>
        <v>#DIV/0!</v>
      </c>
      <c r="D66" s="355" t="s">
        <v>3</v>
      </c>
      <c r="E66" s="356"/>
      <c r="F66" s="478" t="s">
        <v>101</v>
      </c>
      <c r="G66" s="479"/>
      <c r="H66" s="368" t="e">
        <f>+SQRT(SUMSQ(C59,C62,C66,C67))</f>
        <v>#DIV/0!</v>
      </c>
      <c r="I66" s="369" t="s">
        <v>3</v>
      </c>
      <c r="J66" s="300"/>
    </row>
    <row r="67" spans="1:10" s="302" customFormat="1" ht="31.5" customHeight="1" thickBot="1" x14ac:dyDescent="0.3">
      <c r="A67" s="370" t="s">
        <v>102</v>
      </c>
      <c r="B67" s="371"/>
      <c r="C67" s="372">
        <f>+(H16/2/3^0.5)*2^0.5*1000</f>
        <v>0</v>
      </c>
      <c r="D67" s="342" t="s">
        <v>3</v>
      </c>
      <c r="E67" s="356"/>
      <c r="F67" s="480" t="s">
        <v>103</v>
      </c>
      <c r="G67" s="481"/>
      <c r="H67" s="341" t="e">
        <f>+H66*2</f>
        <v>#DIV/0!</v>
      </c>
      <c r="I67" s="342" t="s">
        <v>3</v>
      </c>
      <c r="J67" s="300"/>
    </row>
    <row r="68" spans="1:10" s="301" customFormat="1" ht="15" customHeight="1" x14ac:dyDescent="0.2">
      <c r="A68" s="320"/>
      <c r="B68" s="320"/>
      <c r="C68" s="320"/>
      <c r="D68" s="320"/>
      <c r="E68" s="300"/>
      <c r="F68" s="320"/>
      <c r="G68" s="320"/>
      <c r="H68" s="320"/>
      <c r="I68" s="320"/>
      <c r="J68" s="300"/>
    </row>
    <row r="69" spans="1:10" s="302" customFormat="1" ht="31.5" customHeight="1" thickBot="1" x14ac:dyDescent="0.25">
      <c r="A69" s="300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s="302" customFormat="1" ht="31.5" customHeight="1" thickBot="1" x14ac:dyDescent="0.25">
      <c r="A70" s="471" t="s">
        <v>104</v>
      </c>
      <c r="B70" s="472"/>
      <c r="C70" s="472"/>
      <c r="D70" s="472"/>
      <c r="E70" s="472"/>
      <c r="F70" s="472"/>
      <c r="G70" s="472"/>
      <c r="H70" s="472"/>
      <c r="I70" s="472"/>
      <c r="J70" s="473"/>
    </row>
    <row r="71" spans="1:10" s="302" customFormat="1" ht="31.5" customHeight="1" x14ac:dyDescent="0.2">
      <c r="A71" s="482" t="s">
        <v>283</v>
      </c>
      <c r="B71" s="483"/>
      <c r="C71" s="483"/>
      <c r="D71" s="483"/>
      <c r="E71" s="373"/>
      <c r="F71" s="373"/>
      <c r="G71" s="484"/>
      <c r="H71" s="484"/>
      <c r="I71" s="484"/>
      <c r="J71" s="485"/>
    </row>
    <row r="72" spans="1:10" s="302" customFormat="1" ht="31.5" customHeight="1" x14ac:dyDescent="0.2">
      <c r="A72" s="374" t="s">
        <v>118</v>
      </c>
      <c r="B72" s="375" t="s">
        <v>284</v>
      </c>
      <c r="C72" s="376"/>
      <c r="D72" s="377" t="s">
        <v>285</v>
      </c>
      <c r="E72" s="459" t="s">
        <v>286</v>
      </c>
      <c r="F72" s="460"/>
      <c r="G72" s="378" t="s">
        <v>122</v>
      </c>
      <c r="H72" s="461" t="s">
        <v>123</v>
      </c>
      <c r="I72" s="463" t="s">
        <v>287</v>
      </c>
      <c r="J72" s="464"/>
    </row>
    <row r="73" spans="1:10" s="302" customFormat="1" ht="31.5" customHeight="1" thickBot="1" x14ac:dyDescent="0.25">
      <c r="A73" s="379">
        <f>C11</f>
        <v>0</v>
      </c>
      <c r="B73" s="380">
        <f>C12</f>
        <v>0</v>
      </c>
      <c r="C73" s="381" t="e">
        <f>H54</f>
        <v>#DIV/0!</v>
      </c>
      <c r="D73" s="349" t="e">
        <f>A73+B73/1000+C73/1000</f>
        <v>#DIV/0!</v>
      </c>
      <c r="E73" s="382" t="e">
        <f>A73*1000-D73*1000</f>
        <v>#DIV/0!</v>
      </c>
      <c r="F73" s="382" t="s">
        <v>3</v>
      </c>
      <c r="G73" s="383" t="e">
        <f>D73+E73/1000</f>
        <v>#DIV/0!</v>
      </c>
      <c r="H73" s="462"/>
      <c r="I73" s="384" t="e">
        <f>H67</f>
        <v>#DIV/0!</v>
      </c>
      <c r="J73" s="385" t="s">
        <v>3</v>
      </c>
    </row>
    <row r="75" spans="1:10" ht="51" customHeight="1" x14ac:dyDescent="0.2"/>
    <row r="77" spans="1:10" ht="31.5" customHeight="1" x14ac:dyDescent="0.2">
      <c r="A77" s="266"/>
      <c r="B77" s="259"/>
      <c r="C77" s="259"/>
      <c r="D77" s="259"/>
      <c r="E77" s="259"/>
      <c r="F77" s="259"/>
      <c r="G77" s="259"/>
      <c r="H77" s="259"/>
      <c r="I77" s="259"/>
      <c r="J77" s="259"/>
    </row>
    <row r="78" spans="1:10" ht="31.5" customHeight="1" x14ac:dyDescent="0.2">
      <c r="A78" s="266"/>
      <c r="B78" s="259"/>
      <c r="C78" s="259"/>
      <c r="D78" s="259"/>
      <c r="E78" s="259"/>
      <c r="F78" s="259"/>
      <c r="G78" s="259"/>
      <c r="H78" s="259"/>
      <c r="I78" s="259"/>
      <c r="J78" s="259"/>
    </row>
    <row r="79" spans="1:10" ht="31.5" customHeight="1" x14ac:dyDescent="0.2">
      <c r="A79" s="266"/>
      <c r="B79" s="259"/>
      <c r="C79" s="259"/>
      <c r="D79" s="259"/>
      <c r="E79" s="259"/>
      <c r="F79" s="259"/>
      <c r="G79" s="259"/>
      <c r="H79" s="259"/>
      <c r="I79" s="259"/>
      <c r="J79" s="259"/>
    </row>
    <row r="80" spans="1:10" ht="31.5" customHeight="1" x14ac:dyDescent="0.2">
      <c r="A80" s="266"/>
      <c r="B80" s="259"/>
      <c r="C80" s="259"/>
      <c r="D80" s="259"/>
      <c r="E80" s="259"/>
      <c r="F80" s="259"/>
      <c r="G80" s="259"/>
      <c r="H80" s="259"/>
      <c r="I80" s="259"/>
      <c r="J80" s="259"/>
    </row>
    <row r="81" spans="1:10" ht="31.5" customHeight="1" x14ac:dyDescent="0.2">
      <c r="A81" s="266"/>
      <c r="B81" s="259"/>
      <c r="C81" s="259"/>
      <c r="D81" s="259"/>
      <c r="E81" s="259"/>
      <c r="F81" s="259"/>
      <c r="G81" s="259"/>
      <c r="H81" s="259"/>
      <c r="I81" s="259"/>
      <c r="J81" s="259"/>
    </row>
    <row r="82" spans="1:10" ht="31.5" customHeight="1" x14ac:dyDescent="0.2">
      <c r="A82" s="266"/>
      <c r="B82" s="259"/>
      <c r="C82" s="259"/>
      <c r="D82" s="259"/>
      <c r="E82" s="259"/>
      <c r="F82" s="259"/>
      <c r="G82" s="259"/>
      <c r="H82" s="259"/>
      <c r="I82" s="259"/>
      <c r="J82" s="259"/>
    </row>
    <row r="83" spans="1:10" ht="31.5" customHeight="1" x14ac:dyDescent="0.2">
      <c r="A83" s="266"/>
      <c r="B83" s="259"/>
      <c r="C83" s="259"/>
      <c r="D83" s="259"/>
      <c r="E83" s="259"/>
      <c r="F83" s="259"/>
      <c r="G83" s="259"/>
      <c r="H83" s="259"/>
      <c r="I83" s="259"/>
      <c r="J83" s="259"/>
    </row>
  </sheetData>
  <sheetProtection algorithmName="SHA-512" hashValue="Pdb6UVvjP5CBwPxswjjuWY+6FEf1qt5bqE4p7USrlNJST42YGnTAcnaOqGrl+tIe2qDpRg2G90LzlyZafC2CiQ==" saltValue="gDBDLIUCa2cf6NmIBxFBJw==" spinCount="100000" sheet="1" objects="1" scenarios="1"/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&amp;RRT03-F23.Vr2(2017-05-17)</oddFooter>
  </headerFooter>
  <rowBreaks count="1" manualBreakCount="1">
    <brk id="3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175"/>
  <sheetViews>
    <sheetView showGridLines="0" view="pageBreakPreview" topLeftCell="A115" zoomScaleNormal="100" zoomScaleSheetLayoutView="100" workbookViewId="0">
      <selection activeCell="A121" sqref="A121:J123"/>
    </sheetView>
  </sheetViews>
  <sheetFormatPr baseColWidth="10" defaultRowHeight="15.75" x14ac:dyDescent="0.25"/>
  <cols>
    <col min="1" max="1" width="3" style="166" customWidth="1"/>
    <col min="2" max="2" width="10.140625" style="166" customWidth="1"/>
    <col min="3" max="3" width="10.42578125" style="166" customWidth="1"/>
    <col min="4" max="4" width="8.7109375" style="166" customWidth="1"/>
    <col min="5" max="5" width="12" style="166" customWidth="1"/>
    <col min="6" max="6" width="9" style="166" customWidth="1"/>
    <col min="7" max="7" width="11.5703125" style="166" customWidth="1"/>
    <col min="8" max="8" width="8.42578125" style="166" customWidth="1"/>
    <col min="9" max="9" width="9.42578125" style="166" customWidth="1"/>
    <col min="10" max="10" width="7" style="166" customWidth="1"/>
    <col min="11" max="16384" width="11.42578125" style="166"/>
  </cols>
  <sheetData>
    <row r="1" spans="1:10" ht="18.95" customHeight="1" x14ac:dyDescent="0.25"/>
    <row r="2" spans="1:10" ht="18.95" customHeight="1" x14ac:dyDescent="0.25"/>
    <row r="3" spans="1:10" ht="18.95" customHeight="1" thickBot="1" x14ac:dyDescent="0.3"/>
    <row r="4" spans="1:10" ht="3" customHeight="1" thickTop="1" thickBot="1" x14ac:dyDescent="0.3">
      <c r="A4" s="167"/>
      <c r="B4" s="168"/>
      <c r="C4" s="168"/>
      <c r="D4" s="168"/>
      <c r="E4" s="168"/>
      <c r="F4" s="168"/>
      <c r="G4" s="169"/>
      <c r="H4" s="170"/>
      <c r="I4" s="170"/>
      <c r="J4" s="170"/>
    </row>
    <row r="5" spans="1:10" ht="12" customHeight="1" thickTop="1" x14ac:dyDescent="0.25">
      <c r="A5" s="171"/>
      <c r="B5" s="172"/>
      <c r="C5" s="172"/>
      <c r="D5" s="172"/>
      <c r="E5" s="172"/>
      <c r="F5" s="172"/>
      <c r="G5" s="173"/>
      <c r="H5" s="174"/>
      <c r="I5" s="174"/>
      <c r="J5" s="174"/>
    </row>
    <row r="6" spans="1:10" ht="20.100000000000001" customHeight="1" x14ac:dyDescent="0.25">
      <c r="A6" s="557" t="s">
        <v>13</v>
      </c>
      <c r="B6" s="557"/>
      <c r="C6" s="557"/>
      <c r="D6" s="175"/>
      <c r="E6" s="175"/>
      <c r="F6" s="175"/>
    </row>
    <row r="7" spans="1:10" ht="12" customHeight="1" x14ac:dyDescent="0.25">
      <c r="A7" s="176"/>
      <c r="B7" s="175"/>
      <c r="C7" s="175"/>
      <c r="D7" s="175"/>
      <c r="E7" s="175"/>
      <c r="F7" s="175"/>
    </row>
    <row r="8" spans="1:10" ht="15" customHeight="1" x14ac:dyDescent="0.25">
      <c r="A8" s="561" t="s">
        <v>214</v>
      </c>
      <c r="B8" s="561"/>
      <c r="D8" s="563">
        <f>'VERIFICACION DE PESAS'!G3</f>
        <v>0</v>
      </c>
      <c r="E8" s="561"/>
      <c r="F8" s="175"/>
    </row>
    <row r="9" spans="1:10" ht="15" customHeight="1" x14ac:dyDescent="0.25">
      <c r="A9" s="561" t="s">
        <v>14</v>
      </c>
      <c r="B9" s="561"/>
      <c r="C9" s="177"/>
      <c r="D9" s="563">
        <f>'VERIFICACION DE PESAS'!I3</f>
        <v>0</v>
      </c>
      <c r="E9" s="561"/>
      <c r="F9" s="561"/>
    </row>
    <row r="10" spans="1:10" ht="15" customHeight="1" x14ac:dyDescent="0.25">
      <c r="A10" s="561" t="s">
        <v>15</v>
      </c>
      <c r="B10" s="561"/>
      <c r="D10" s="563">
        <f>'VERIFICACION DE PESAS'!B3</f>
        <v>0</v>
      </c>
      <c r="E10" s="561"/>
      <c r="F10" s="175"/>
    </row>
    <row r="11" spans="1:10" ht="12" customHeight="1" x14ac:dyDescent="0.25">
      <c r="A11" s="178"/>
      <c r="B11" s="178"/>
      <c r="D11" s="178"/>
      <c r="E11" s="178"/>
      <c r="F11" s="175"/>
    </row>
    <row r="12" spans="1:10" ht="15" customHeight="1" x14ac:dyDescent="0.25">
      <c r="A12" s="561" t="s">
        <v>16</v>
      </c>
      <c r="B12" s="561"/>
      <c r="C12" s="561"/>
      <c r="D12" s="558">
        <f>'VERIFICACION DE PESAS'!D3</f>
        <v>0</v>
      </c>
      <c r="E12" s="558"/>
      <c r="F12" s="559" t="s">
        <v>18</v>
      </c>
      <c r="G12" s="559"/>
      <c r="H12" s="560"/>
      <c r="I12" s="560"/>
    </row>
    <row r="13" spans="1:10" ht="12" customHeight="1" x14ac:dyDescent="0.25">
      <c r="A13" s="175"/>
      <c r="B13" s="175"/>
      <c r="C13" s="175"/>
      <c r="D13" s="175"/>
      <c r="E13" s="175"/>
      <c r="F13" s="175"/>
    </row>
    <row r="14" spans="1:10" ht="20.100000000000001" customHeight="1" x14ac:dyDescent="0.25">
      <c r="A14" s="557" t="s">
        <v>215</v>
      </c>
      <c r="B14" s="557"/>
      <c r="C14" s="557"/>
      <c r="D14" s="557"/>
      <c r="E14" s="557"/>
      <c r="F14" s="175"/>
    </row>
    <row r="15" spans="1:10" ht="12" customHeight="1" x14ac:dyDescent="0.25">
      <c r="A15" s="179"/>
      <c r="B15" s="179"/>
      <c r="C15" s="179"/>
      <c r="D15" s="179"/>
      <c r="E15" s="179"/>
      <c r="F15" s="175"/>
    </row>
    <row r="16" spans="1:10" ht="15" customHeight="1" x14ac:dyDescent="0.25">
      <c r="A16" s="561" t="s">
        <v>216</v>
      </c>
      <c r="B16" s="561"/>
      <c r="C16" s="561"/>
      <c r="D16" s="532"/>
      <c r="E16" s="532"/>
      <c r="F16" s="532"/>
      <c r="G16" s="532"/>
    </row>
    <row r="17" spans="1:10" ht="15" customHeight="1" x14ac:dyDescent="0.25">
      <c r="A17" s="561" t="s">
        <v>24</v>
      </c>
      <c r="B17" s="561"/>
      <c r="C17" s="561"/>
      <c r="D17" s="532">
        <f>'VERIFICACION DE PESAS'!I8</f>
        <v>0</v>
      </c>
      <c r="E17" s="532"/>
      <c r="F17" s="532"/>
      <c r="G17" s="532"/>
    </row>
    <row r="18" spans="1:10" ht="15" customHeight="1" x14ac:dyDescent="0.25">
      <c r="A18" s="561" t="s">
        <v>17</v>
      </c>
      <c r="B18" s="561"/>
      <c r="C18" s="561"/>
      <c r="D18" s="532">
        <f>'VERIFICACION DE PESAS'!G9</f>
        <v>0</v>
      </c>
      <c r="E18" s="532"/>
      <c r="F18" s="532"/>
      <c r="G18" s="532"/>
    </row>
    <row r="19" spans="1:10" ht="30" customHeight="1" x14ac:dyDescent="0.25">
      <c r="A19" s="561" t="s">
        <v>25</v>
      </c>
      <c r="B19" s="561"/>
      <c r="C19" s="561"/>
      <c r="D19" s="532"/>
      <c r="E19" s="532"/>
      <c r="F19" s="532"/>
      <c r="G19" s="532"/>
      <c r="H19" s="532"/>
      <c r="I19" s="532"/>
      <c r="J19" s="532"/>
    </row>
    <row r="20" spans="1:10" ht="15" customHeight="1" x14ac:dyDescent="0.25">
      <c r="A20" s="561" t="s">
        <v>26</v>
      </c>
      <c r="B20" s="561"/>
      <c r="C20" s="561"/>
      <c r="D20" s="532" t="s">
        <v>264</v>
      </c>
      <c r="E20" s="532"/>
      <c r="F20" s="532"/>
      <c r="G20" s="532"/>
    </row>
    <row r="21" spans="1:10" ht="12" customHeight="1" x14ac:dyDescent="0.25">
      <c r="A21" s="178"/>
      <c r="B21" s="178"/>
      <c r="C21" s="178"/>
      <c r="D21" s="176"/>
      <c r="E21" s="176"/>
      <c r="F21" s="176"/>
      <c r="G21" s="176"/>
    </row>
    <row r="22" spans="1:10" ht="15" customHeight="1" x14ac:dyDescent="0.25">
      <c r="A22" s="561" t="s">
        <v>27</v>
      </c>
      <c r="B22" s="561"/>
      <c r="C22" s="561"/>
      <c r="D22" s="561"/>
      <c r="E22" s="561"/>
      <c r="F22" s="561"/>
      <c r="G22" s="176">
        <v>16</v>
      </c>
    </row>
    <row r="23" spans="1:10" ht="12" customHeight="1" x14ac:dyDescent="0.25">
      <c r="A23" s="178"/>
      <c r="B23" s="178"/>
      <c r="C23" s="178"/>
      <c r="D23" s="178"/>
      <c r="E23" s="178"/>
      <c r="F23" s="178"/>
      <c r="G23" s="175"/>
    </row>
    <row r="24" spans="1:10" ht="20.100000000000001" customHeight="1" x14ac:dyDescent="0.25">
      <c r="A24" s="557" t="s">
        <v>245</v>
      </c>
      <c r="B24" s="557"/>
      <c r="C24" s="557"/>
      <c r="D24" s="557"/>
      <c r="E24" s="562">
        <f>'VERIFICACION DE PESAS'!B5</f>
        <v>0</v>
      </c>
      <c r="F24" s="537"/>
      <c r="G24" s="537"/>
      <c r="H24" s="537"/>
      <c r="I24" s="537"/>
      <c r="J24" s="537"/>
    </row>
    <row r="25" spans="1:10" ht="10.5" customHeight="1" x14ac:dyDescent="0.25">
      <c r="B25" s="557"/>
      <c r="C25" s="557"/>
      <c r="D25" s="557"/>
      <c r="E25" s="557"/>
      <c r="F25" s="179"/>
      <c r="G25" s="176"/>
    </row>
    <row r="26" spans="1:10" ht="20.100000000000001" customHeight="1" x14ac:dyDescent="0.25">
      <c r="A26" s="557" t="s">
        <v>263</v>
      </c>
      <c r="B26" s="557"/>
      <c r="C26" s="557"/>
      <c r="D26" s="557"/>
      <c r="E26" s="250">
        <f>'VERIFICACION DE PESAS'!G5</f>
        <v>0</v>
      </c>
      <c r="G26" s="180"/>
      <c r="H26" s="180"/>
    </row>
    <row r="27" spans="1:10" ht="9.75" customHeight="1" x14ac:dyDescent="0.25">
      <c r="F27" s="176"/>
      <c r="G27" s="176"/>
    </row>
    <row r="28" spans="1:10" ht="20.100000000000001" customHeight="1" x14ac:dyDescent="0.25">
      <c r="A28" s="543" t="s">
        <v>217</v>
      </c>
      <c r="B28" s="543"/>
      <c r="C28" s="543"/>
      <c r="D28" s="543"/>
      <c r="E28" s="543"/>
      <c r="F28" s="543"/>
      <c r="G28" s="543"/>
    </row>
    <row r="29" spans="1:10" ht="12" customHeight="1" x14ac:dyDescent="0.25">
      <c r="A29" s="181"/>
      <c r="B29" s="182"/>
      <c r="C29" s="182"/>
      <c r="D29" s="182"/>
      <c r="F29" s="173"/>
      <c r="G29" s="175"/>
    </row>
    <row r="30" spans="1:10" ht="15" customHeight="1" x14ac:dyDescent="0.25">
      <c r="A30" s="532" t="s">
        <v>218</v>
      </c>
      <c r="B30" s="532"/>
      <c r="C30" s="532"/>
      <c r="D30" s="532"/>
      <c r="E30" s="532"/>
      <c r="F30" s="532"/>
      <c r="G30" s="532"/>
      <c r="H30" s="532"/>
      <c r="I30" s="532"/>
      <c r="J30" s="176"/>
    </row>
    <row r="31" spans="1:10" ht="12" customHeight="1" x14ac:dyDescent="0.25">
      <c r="A31" s="176"/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ht="20.100000000000001" customHeight="1" x14ac:dyDescent="0.25">
      <c r="A32" s="181" t="s">
        <v>28</v>
      </c>
      <c r="B32" s="181"/>
      <c r="C32" s="181"/>
      <c r="D32" s="181"/>
      <c r="E32" s="181"/>
      <c r="F32" s="176"/>
      <c r="G32" s="176"/>
    </row>
    <row r="33" spans="1:10" ht="12" customHeight="1" x14ac:dyDescent="0.25">
      <c r="A33" s="181"/>
      <c r="B33" s="181"/>
      <c r="C33" s="181"/>
      <c r="D33" s="181"/>
      <c r="E33" s="181"/>
      <c r="F33" s="176"/>
      <c r="G33" s="176"/>
    </row>
    <row r="34" spans="1:10" ht="15" customHeight="1" x14ac:dyDescent="0.25">
      <c r="A34" s="536" t="s">
        <v>219</v>
      </c>
      <c r="B34" s="536"/>
      <c r="C34" s="536"/>
      <c r="D34" s="536"/>
      <c r="E34" s="536"/>
      <c r="F34" s="536"/>
      <c r="G34" s="536"/>
      <c r="H34" s="536"/>
      <c r="I34" s="536"/>
      <c r="J34" s="536"/>
    </row>
    <row r="35" spans="1:10" ht="12" customHeight="1" x14ac:dyDescent="0.25">
      <c r="A35" s="183"/>
      <c r="B35" s="183"/>
      <c r="C35" s="183"/>
      <c r="D35" s="183"/>
      <c r="E35" s="183"/>
      <c r="F35" s="183"/>
      <c r="G35" s="183"/>
    </row>
    <row r="36" spans="1:10" ht="20.100000000000001" customHeight="1" x14ac:dyDescent="0.25">
      <c r="A36" s="543" t="s">
        <v>246</v>
      </c>
      <c r="B36" s="543"/>
      <c r="C36" s="543"/>
      <c r="D36" s="543"/>
      <c r="G36" s="175"/>
    </row>
    <row r="37" spans="1:10" ht="12" customHeight="1" x14ac:dyDescent="0.25">
      <c r="A37" s="184"/>
      <c r="B37" s="184"/>
      <c r="C37" s="184"/>
      <c r="D37" s="184"/>
      <c r="G37" s="175"/>
    </row>
    <row r="38" spans="1:10" ht="30" customHeight="1" x14ac:dyDescent="0.25">
      <c r="A38" s="542" t="s">
        <v>41</v>
      </c>
      <c r="B38" s="542"/>
      <c r="C38" s="542"/>
      <c r="D38" s="542"/>
      <c r="E38" s="542"/>
      <c r="F38" s="542"/>
      <c r="G38" s="542"/>
      <c r="H38" s="542"/>
      <c r="I38" s="542"/>
      <c r="J38" s="542"/>
    </row>
    <row r="39" spans="1:10" ht="12" customHeight="1" x14ac:dyDescent="0.25">
      <c r="A39" s="185"/>
      <c r="B39" s="185"/>
      <c r="C39" s="185"/>
      <c r="D39" s="185"/>
      <c r="E39" s="185"/>
      <c r="F39" s="185"/>
      <c r="G39" s="185"/>
    </row>
    <row r="40" spans="1:10" ht="20.100000000000001" customHeight="1" thickBot="1" x14ac:dyDescent="0.3">
      <c r="A40" s="543" t="s">
        <v>247</v>
      </c>
      <c r="B40" s="543"/>
      <c r="C40" s="543"/>
      <c r="D40" s="543"/>
      <c r="E40" s="543"/>
      <c r="F40" s="543"/>
      <c r="G40" s="543"/>
    </row>
    <row r="41" spans="1:10" ht="3" customHeight="1" thickTop="1" thickBot="1" x14ac:dyDescent="0.3">
      <c r="A41" s="167"/>
      <c r="B41" s="167"/>
      <c r="C41" s="167"/>
      <c r="D41" s="167"/>
      <c r="E41" s="167"/>
      <c r="F41" s="167"/>
      <c r="G41" s="167"/>
      <c r="H41" s="167"/>
      <c r="I41" s="167"/>
      <c r="J41" s="167"/>
    </row>
    <row r="42" spans="1:10" ht="12" customHeight="1" thickTop="1" x14ac:dyDescent="0.25"/>
    <row r="43" spans="1:10" ht="20.100000000000001" customHeight="1" x14ac:dyDescent="0.25">
      <c r="A43" s="184"/>
      <c r="B43" s="184"/>
      <c r="C43" s="184"/>
      <c r="D43" s="184"/>
      <c r="E43" s="184"/>
      <c r="F43" s="184"/>
      <c r="G43" s="184"/>
    </row>
    <row r="44" spans="1:10" ht="12" customHeight="1" x14ac:dyDescent="0.25">
      <c r="A44" s="184"/>
      <c r="B44" s="184"/>
      <c r="C44" s="184"/>
      <c r="D44" s="184"/>
      <c r="E44" s="184"/>
      <c r="F44" s="184"/>
      <c r="G44" s="184"/>
    </row>
    <row r="45" spans="1:10" ht="12" customHeight="1" thickBot="1" x14ac:dyDescent="0.3"/>
    <row r="46" spans="1:10" ht="3" customHeight="1" thickTop="1" thickBot="1" x14ac:dyDescent="0.3">
      <c r="A46" s="167"/>
      <c r="B46" s="168"/>
      <c r="C46" s="168"/>
      <c r="D46" s="168"/>
      <c r="E46" s="168"/>
      <c r="F46" s="168"/>
      <c r="G46" s="169"/>
      <c r="H46" s="170"/>
      <c r="I46" s="170"/>
      <c r="J46" s="170"/>
    </row>
    <row r="47" spans="1:10" ht="3" customHeight="1" thickTop="1" x14ac:dyDescent="0.25"/>
    <row r="48" spans="1:10" ht="12" customHeight="1" x14ac:dyDescent="0.25">
      <c r="A48" s="171"/>
      <c r="B48" s="172"/>
      <c r="C48" s="172"/>
      <c r="D48" s="172"/>
      <c r="E48" s="172"/>
      <c r="F48" s="172"/>
      <c r="G48" s="173"/>
      <c r="H48" s="174"/>
      <c r="I48" s="174"/>
      <c r="J48" s="174"/>
    </row>
    <row r="49" spans="1:10" ht="15" customHeight="1" x14ac:dyDescent="0.25">
      <c r="A49" s="556" t="s">
        <v>40</v>
      </c>
      <c r="B49" s="556"/>
      <c r="C49" s="556"/>
      <c r="D49" s="556"/>
      <c r="E49" s="556"/>
      <c r="F49" s="556"/>
      <c r="G49" s="556"/>
      <c r="H49" s="174"/>
      <c r="I49" s="174"/>
      <c r="J49" s="174"/>
    </row>
    <row r="50" spans="1:10" ht="12" customHeight="1" x14ac:dyDescent="0.25">
      <c r="A50" s="186"/>
      <c r="B50" s="186"/>
      <c r="C50" s="186"/>
      <c r="D50" s="186"/>
      <c r="E50" s="186"/>
      <c r="F50" s="186"/>
      <c r="G50" s="186"/>
      <c r="H50" s="174"/>
      <c r="I50" s="174"/>
      <c r="J50" s="174"/>
    </row>
    <row r="51" spans="1:10" ht="20.100000000000001" customHeight="1" x14ac:dyDescent="0.25">
      <c r="A51" s="543" t="s">
        <v>220</v>
      </c>
      <c r="B51" s="543"/>
      <c r="C51" s="543"/>
      <c r="D51" s="543"/>
      <c r="E51" s="543"/>
      <c r="F51" s="543"/>
      <c r="G51" s="543"/>
    </row>
    <row r="52" spans="1:10" ht="12" customHeight="1" x14ac:dyDescent="0.25">
      <c r="A52" s="183" t="s">
        <v>5</v>
      </c>
    </row>
    <row r="53" spans="1:10" x14ac:dyDescent="0.25">
      <c r="A53" s="553" t="s">
        <v>221</v>
      </c>
      <c r="B53" s="553"/>
      <c r="C53" s="551" t="s">
        <v>6</v>
      </c>
      <c r="D53" s="551"/>
      <c r="E53" s="551" t="s">
        <v>7</v>
      </c>
      <c r="F53" s="551"/>
      <c r="G53" s="555" t="s">
        <v>29</v>
      </c>
      <c r="H53" s="555"/>
      <c r="I53" s="555"/>
      <c r="J53" s="555"/>
    </row>
    <row r="54" spans="1:10" ht="16.5" customHeight="1" x14ac:dyDescent="0.25">
      <c r="A54" s="553"/>
      <c r="B54" s="553"/>
      <c r="C54" s="551"/>
      <c r="D54" s="551"/>
      <c r="E54" s="551"/>
      <c r="F54" s="551"/>
      <c r="G54" s="551" t="s">
        <v>30</v>
      </c>
      <c r="H54" s="551"/>
      <c r="I54" s="551" t="s">
        <v>31</v>
      </c>
      <c r="J54" s="551"/>
    </row>
    <row r="55" spans="1:10" ht="32.25" customHeight="1" x14ac:dyDescent="0.25">
      <c r="A55" s="553" t="s">
        <v>265</v>
      </c>
      <c r="B55" s="553"/>
      <c r="C55" s="553" t="s">
        <v>8</v>
      </c>
      <c r="D55" s="553"/>
      <c r="E55" s="553" t="s">
        <v>9</v>
      </c>
      <c r="F55" s="553"/>
      <c r="G55" s="553" t="s">
        <v>222</v>
      </c>
      <c r="H55" s="553"/>
      <c r="I55" s="553" t="s">
        <v>223</v>
      </c>
      <c r="J55" s="553"/>
    </row>
    <row r="56" spans="1:10" ht="12" customHeigh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20.100000000000001" customHeight="1" x14ac:dyDescent="0.25">
      <c r="A57" s="543" t="s">
        <v>224</v>
      </c>
      <c r="B57" s="543"/>
      <c r="C57" s="543"/>
      <c r="D57" s="543"/>
      <c r="E57" s="543"/>
    </row>
    <row r="58" spans="1:10" ht="12" customHeight="1" x14ac:dyDescent="0.25">
      <c r="A58" s="181"/>
    </row>
    <row r="59" spans="1:10" ht="15" customHeight="1" x14ac:dyDescent="0.25">
      <c r="A59" s="542" t="s">
        <v>248</v>
      </c>
      <c r="B59" s="542"/>
      <c r="C59" s="542"/>
      <c r="D59" s="542"/>
      <c r="E59" s="542"/>
      <c r="F59" s="542"/>
      <c r="G59" s="542"/>
      <c r="H59" s="542"/>
      <c r="I59" s="542"/>
      <c r="J59" s="542"/>
    </row>
    <row r="60" spans="1:10" ht="15" customHeight="1" x14ac:dyDescent="0.25">
      <c r="A60" s="542"/>
      <c r="B60" s="542"/>
      <c r="C60" s="542"/>
      <c r="D60" s="542"/>
      <c r="E60" s="542"/>
      <c r="F60" s="542"/>
      <c r="G60" s="542"/>
      <c r="H60" s="542"/>
      <c r="I60" s="542"/>
      <c r="J60" s="542"/>
    </row>
    <row r="61" spans="1:10" ht="15" customHeight="1" x14ac:dyDescent="0.25">
      <c r="A61" s="542"/>
      <c r="B61" s="542"/>
      <c r="C61" s="542"/>
      <c r="D61" s="542"/>
      <c r="E61" s="542"/>
      <c r="F61" s="542"/>
      <c r="G61" s="542"/>
      <c r="H61" s="542"/>
      <c r="I61" s="542"/>
      <c r="J61" s="542"/>
    </row>
    <row r="62" spans="1:10" ht="15" customHeight="1" x14ac:dyDescent="0.25">
      <c r="A62" s="542"/>
      <c r="B62" s="542"/>
      <c r="C62" s="542"/>
      <c r="D62" s="542"/>
      <c r="E62" s="542"/>
      <c r="F62" s="542"/>
      <c r="G62" s="542"/>
      <c r="H62" s="542"/>
      <c r="I62" s="542"/>
      <c r="J62" s="542"/>
    </row>
    <row r="63" spans="1:10" ht="15" customHeight="1" x14ac:dyDescent="0.25">
      <c r="A63" s="181"/>
    </row>
    <row r="64" spans="1:10" ht="27" customHeight="1" x14ac:dyDescent="0.25">
      <c r="A64" s="551" t="s">
        <v>32</v>
      </c>
      <c r="B64" s="551"/>
      <c r="C64" s="551"/>
      <c r="D64" s="188" t="s">
        <v>33</v>
      </c>
      <c r="E64" s="188" t="s">
        <v>24</v>
      </c>
      <c r="F64" s="551" t="s">
        <v>34</v>
      </c>
      <c r="G64" s="551"/>
      <c r="H64" s="551" t="s">
        <v>36</v>
      </c>
      <c r="I64" s="551"/>
      <c r="J64" s="551"/>
    </row>
    <row r="65" spans="1:10" ht="35.25" customHeight="1" x14ac:dyDescent="0.25">
      <c r="A65" s="553"/>
      <c r="B65" s="553"/>
      <c r="C65" s="553"/>
      <c r="D65" s="189" t="s">
        <v>35</v>
      </c>
      <c r="E65" s="190">
        <f>'VERIFICACION DE PESAS'!D8</f>
        <v>0</v>
      </c>
      <c r="F65" s="553">
        <f>'VERIFICACION DE PESAS'!B10</f>
        <v>0</v>
      </c>
      <c r="G65" s="553"/>
      <c r="H65" s="554">
        <f>'VERIFICACION DE PESAS'!D10</f>
        <v>0</v>
      </c>
      <c r="I65" s="554"/>
      <c r="J65" s="554"/>
    </row>
    <row r="66" spans="1:10" ht="12" customHeight="1" x14ac:dyDescent="0.25">
      <c r="A66" s="191"/>
      <c r="B66" s="191"/>
      <c r="C66" s="191"/>
      <c r="D66" s="192"/>
      <c r="E66" s="191"/>
      <c r="F66" s="191"/>
      <c r="G66" s="191"/>
      <c r="H66" s="193"/>
      <c r="I66" s="193"/>
      <c r="J66" s="193"/>
    </row>
    <row r="67" spans="1:10" ht="20.100000000000001" customHeight="1" x14ac:dyDescent="0.25">
      <c r="A67" s="541" t="s">
        <v>225</v>
      </c>
      <c r="B67" s="541"/>
      <c r="C67" s="541"/>
      <c r="D67" s="541"/>
      <c r="E67" s="541"/>
      <c r="F67" s="541"/>
      <c r="G67" s="541"/>
      <c r="H67" s="541"/>
      <c r="I67" s="541"/>
      <c r="J67" s="194"/>
    </row>
    <row r="68" spans="1:10" ht="12" customHeight="1" x14ac:dyDescent="0.25">
      <c r="A68" s="194"/>
      <c r="B68" s="176"/>
      <c r="C68" s="176"/>
      <c r="D68" s="176"/>
      <c r="E68" s="176"/>
    </row>
    <row r="69" spans="1:10" ht="48" customHeight="1" x14ac:dyDescent="0.25">
      <c r="A69" s="542" t="s">
        <v>12</v>
      </c>
      <c r="B69" s="542"/>
      <c r="C69" s="542"/>
      <c r="D69" s="542"/>
      <c r="E69" s="542"/>
      <c r="F69" s="542"/>
      <c r="G69" s="542"/>
      <c r="H69" s="542"/>
      <c r="I69" s="542"/>
      <c r="J69" s="542"/>
    </row>
    <row r="70" spans="1:10" ht="12" customHeight="1" x14ac:dyDescent="0.25">
      <c r="A70" s="185"/>
      <c r="B70" s="185"/>
      <c r="C70" s="185"/>
      <c r="D70" s="185"/>
      <c r="E70" s="185"/>
      <c r="F70" s="185"/>
      <c r="G70" s="185"/>
      <c r="H70" s="185"/>
      <c r="I70" s="185"/>
      <c r="J70" s="185"/>
    </row>
    <row r="71" spans="1:10" ht="12" customHeight="1" x14ac:dyDescent="0.25">
      <c r="A71" s="185"/>
      <c r="B71" s="185"/>
      <c r="C71" s="185"/>
      <c r="D71" s="185"/>
      <c r="E71" s="185"/>
      <c r="F71" s="185"/>
      <c r="G71" s="185"/>
      <c r="H71" s="185"/>
      <c r="I71" s="185"/>
      <c r="J71" s="185"/>
    </row>
    <row r="72" spans="1:10" ht="12" customHeight="1" x14ac:dyDescent="0.25">
      <c r="A72" s="185"/>
      <c r="B72" s="185"/>
      <c r="C72" s="185"/>
      <c r="D72" s="185"/>
      <c r="E72" s="185"/>
      <c r="F72" s="185"/>
      <c r="G72" s="185"/>
      <c r="H72" s="185"/>
      <c r="I72" s="185"/>
      <c r="J72" s="185"/>
    </row>
    <row r="73" spans="1:10" ht="12" customHeight="1" x14ac:dyDescent="0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</row>
    <row r="74" spans="1:10" ht="12" customHeight="1" x14ac:dyDescent="0.25">
      <c r="A74" s="185"/>
      <c r="B74" s="185"/>
      <c r="C74" s="185"/>
      <c r="D74" s="185"/>
      <c r="E74" s="185"/>
      <c r="F74" s="185"/>
      <c r="G74" s="185"/>
      <c r="H74" s="185"/>
      <c r="I74" s="185"/>
      <c r="J74" s="185"/>
    </row>
    <row r="75" spans="1:10" ht="12" customHeight="1" x14ac:dyDescent="0.25">
      <c r="A75" s="185"/>
      <c r="B75" s="185"/>
      <c r="C75" s="185"/>
      <c r="D75" s="185"/>
      <c r="E75" s="185"/>
      <c r="F75" s="185"/>
      <c r="G75" s="185"/>
      <c r="H75" s="185"/>
      <c r="I75" s="185"/>
      <c r="J75" s="185"/>
    </row>
    <row r="76" spans="1:10" ht="12" customHeight="1" x14ac:dyDescent="0.25">
      <c r="A76" s="185"/>
      <c r="B76" s="185"/>
      <c r="C76" s="185"/>
      <c r="D76" s="185"/>
      <c r="E76" s="185"/>
      <c r="F76" s="185"/>
      <c r="G76" s="185"/>
      <c r="H76" s="185"/>
      <c r="I76" s="185"/>
      <c r="J76" s="185"/>
    </row>
    <row r="77" spans="1:10" ht="12" customHeight="1" x14ac:dyDescent="0.25">
      <c r="A77" s="185"/>
      <c r="B77" s="185"/>
      <c r="C77" s="185"/>
      <c r="D77" s="185"/>
      <c r="E77" s="185"/>
      <c r="F77" s="185"/>
      <c r="G77" s="185"/>
      <c r="H77" s="185"/>
      <c r="I77" s="185"/>
      <c r="J77" s="185"/>
    </row>
    <row r="78" spans="1:10" ht="12" customHeight="1" x14ac:dyDescent="0.25">
      <c r="A78" s="185"/>
      <c r="B78" s="185"/>
      <c r="C78" s="185"/>
      <c r="D78" s="185"/>
      <c r="E78" s="185"/>
      <c r="F78" s="185"/>
      <c r="G78" s="185"/>
      <c r="H78" s="185"/>
      <c r="I78" s="185"/>
      <c r="J78" s="185"/>
    </row>
    <row r="79" spans="1:10" ht="12" customHeight="1" x14ac:dyDescent="0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</row>
    <row r="80" spans="1:10" ht="12" customHeight="1" x14ac:dyDescent="0.25">
      <c r="A80" s="185"/>
      <c r="B80" s="185"/>
      <c r="C80" s="185"/>
      <c r="D80" s="185"/>
      <c r="E80" s="185"/>
      <c r="F80" s="185"/>
      <c r="G80" s="185"/>
      <c r="H80" s="185"/>
      <c r="I80" s="185"/>
      <c r="J80" s="185"/>
    </row>
    <row r="81" spans="1:10" ht="12" customHeight="1" thickBot="1" x14ac:dyDescent="0.3">
      <c r="A81" s="185"/>
      <c r="B81" s="185"/>
      <c r="C81" s="185"/>
      <c r="D81" s="185"/>
      <c r="E81" s="185"/>
      <c r="F81" s="185"/>
      <c r="G81" s="185"/>
      <c r="H81" s="185"/>
      <c r="I81" s="185"/>
      <c r="J81" s="185"/>
    </row>
    <row r="82" spans="1:10" ht="3" customHeight="1" thickTop="1" thickBot="1" x14ac:dyDescent="0.3">
      <c r="A82" s="167"/>
      <c r="B82" s="168"/>
      <c r="C82" s="168"/>
      <c r="D82" s="168"/>
      <c r="E82" s="168"/>
      <c r="F82" s="168"/>
      <c r="G82" s="169"/>
      <c r="H82" s="170"/>
      <c r="I82" s="170"/>
      <c r="J82" s="170"/>
    </row>
    <row r="83" spans="1:10" ht="12" customHeight="1" thickTop="1" x14ac:dyDescent="0.25"/>
    <row r="84" spans="1:10" ht="12" customHeight="1" x14ac:dyDescent="0.25">
      <c r="A84" s="171"/>
      <c r="B84" s="172"/>
      <c r="C84" s="172"/>
      <c r="D84" s="172"/>
      <c r="E84" s="172"/>
      <c r="F84" s="172"/>
      <c r="G84" s="173"/>
      <c r="H84" s="174"/>
      <c r="I84" s="174"/>
      <c r="J84" s="174"/>
    </row>
    <row r="85" spans="1:10" ht="12" customHeight="1" x14ac:dyDescent="0.25">
      <c r="A85" s="171"/>
      <c r="B85" s="172"/>
      <c r="C85" s="172"/>
      <c r="D85" s="172"/>
      <c r="E85" s="172"/>
      <c r="F85" s="172"/>
      <c r="G85" s="173"/>
      <c r="H85" s="174"/>
      <c r="I85" s="174"/>
      <c r="J85" s="174"/>
    </row>
    <row r="86" spans="1:10" ht="12" customHeight="1" x14ac:dyDescent="0.25">
      <c r="A86" s="171"/>
      <c r="B86" s="172"/>
      <c r="C86" s="172"/>
      <c r="D86" s="172"/>
      <c r="E86" s="172"/>
      <c r="F86" s="172"/>
      <c r="G86" s="173"/>
      <c r="H86" s="174"/>
      <c r="I86" s="174"/>
      <c r="J86" s="174"/>
    </row>
    <row r="87" spans="1:10" ht="12" customHeight="1" x14ac:dyDescent="0.25">
      <c r="A87" s="171"/>
      <c r="B87" s="172"/>
      <c r="C87" s="172"/>
      <c r="D87" s="172"/>
      <c r="E87" s="172"/>
      <c r="F87" s="172"/>
      <c r="G87" s="173"/>
      <c r="H87" s="174"/>
      <c r="I87" s="174"/>
      <c r="J87" s="174"/>
    </row>
    <row r="88" spans="1:10" ht="12" customHeight="1" x14ac:dyDescent="0.25">
      <c r="A88" s="171"/>
      <c r="B88" s="172"/>
      <c r="C88" s="172"/>
      <c r="D88" s="172"/>
      <c r="E88" s="172"/>
      <c r="F88" s="172"/>
      <c r="G88" s="173"/>
      <c r="H88" s="174"/>
      <c r="I88" s="174"/>
      <c r="J88" s="174"/>
    </row>
    <row r="89" spans="1:10" ht="3" customHeight="1" x14ac:dyDescent="0.25"/>
    <row r="90" spans="1:10" ht="12.75" customHeight="1" x14ac:dyDescent="0.25">
      <c r="A90" s="533"/>
      <c r="B90" s="533"/>
      <c r="C90" s="533"/>
      <c r="D90" s="533"/>
      <c r="E90" s="533"/>
      <c r="F90" s="533"/>
      <c r="G90" s="533"/>
    </row>
    <row r="91" spans="1:10" ht="11.25" customHeight="1" x14ac:dyDescent="0.25">
      <c r="A91" s="187"/>
      <c r="B91" s="187"/>
      <c r="C91" s="187"/>
      <c r="D91" s="187"/>
      <c r="E91" s="187"/>
      <c r="F91" s="187"/>
      <c r="G91" s="187"/>
    </row>
    <row r="92" spans="1:10" ht="11.25" customHeight="1" x14ac:dyDescent="0.25">
      <c r="A92" s="213"/>
      <c r="B92" s="213"/>
      <c r="C92" s="213"/>
      <c r="D92" s="213"/>
      <c r="E92" s="213"/>
      <c r="F92" s="213"/>
      <c r="G92" s="213"/>
    </row>
    <row r="93" spans="1:10" ht="11.25" customHeight="1" x14ac:dyDescent="0.25">
      <c r="A93" s="213"/>
      <c r="B93" s="213"/>
      <c r="C93" s="213"/>
      <c r="D93" s="213"/>
      <c r="E93" s="213"/>
      <c r="F93" s="213"/>
      <c r="G93" s="213"/>
    </row>
    <row r="94" spans="1:10" ht="15" customHeight="1" x14ac:dyDescent="0.25">
      <c r="A94" s="187"/>
      <c r="B94" s="187"/>
      <c r="C94" s="187"/>
      <c r="D94" s="187"/>
      <c r="E94" s="187"/>
      <c r="F94" s="187"/>
      <c r="G94" s="187"/>
    </row>
    <row r="95" spans="1:10" ht="15" customHeight="1" thickBot="1" x14ac:dyDescent="0.3">
      <c r="A95" s="187"/>
      <c r="B95" s="187"/>
      <c r="C95" s="187"/>
      <c r="D95" s="187"/>
      <c r="E95" s="187"/>
      <c r="F95" s="187"/>
      <c r="G95" s="187"/>
    </row>
    <row r="96" spans="1:10" ht="3" customHeight="1" thickTop="1" thickBot="1" x14ac:dyDescent="0.3">
      <c r="A96" s="167"/>
      <c r="B96" s="168"/>
      <c r="C96" s="168"/>
      <c r="D96" s="168"/>
      <c r="E96" s="168"/>
      <c r="F96" s="168"/>
      <c r="G96" s="169"/>
      <c r="H96" s="170"/>
      <c r="I96" s="170"/>
      <c r="J96" s="170"/>
    </row>
    <row r="97" spans="1:10" ht="12" customHeight="1" thickTop="1" x14ac:dyDescent="0.25">
      <c r="A97" s="185"/>
      <c r="B97" s="185"/>
      <c r="C97" s="185"/>
      <c r="D97" s="185"/>
      <c r="E97" s="185"/>
      <c r="F97" s="185"/>
      <c r="G97" s="185"/>
      <c r="H97" s="185"/>
      <c r="I97" s="185"/>
      <c r="J97" s="185"/>
    </row>
    <row r="98" spans="1:10" ht="20.100000000000001" customHeight="1" x14ac:dyDescent="0.25">
      <c r="A98" s="541" t="s">
        <v>249</v>
      </c>
      <c r="B98" s="541"/>
      <c r="C98" s="541"/>
      <c r="D98" s="541"/>
      <c r="E98" s="541"/>
    </row>
    <row r="99" spans="1:10" ht="12" customHeight="1" x14ac:dyDescent="0.25">
      <c r="A99" s="195"/>
      <c r="B99" s="195"/>
      <c r="C99" s="195"/>
      <c r="D99" s="195"/>
      <c r="E99" s="196"/>
    </row>
    <row r="100" spans="1:10" ht="30" customHeight="1" x14ac:dyDescent="0.25">
      <c r="A100" s="544" t="s">
        <v>4</v>
      </c>
      <c r="B100" s="545" t="s">
        <v>10</v>
      </c>
      <c r="C100" s="547" t="s">
        <v>11</v>
      </c>
      <c r="D100" s="548"/>
      <c r="E100" s="549" t="s">
        <v>226</v>
      </c>
      <c r="F100" s="551" t="s">
        <v>266</v>
      </c>
      <c r="G100" s="551" t="s">
        <v>19</v>
      </c>
      <c r="H100" s="551"/>
      <c r="I100" s="551"/>
      <c r="J100" s="197" t="s">
        <v>227</v>
      </c>
    </row>
    <row r="101" spans="1:10" ht="50.1" customHeight="1" x14ac:dyDescent="0.25">
      <c r="A101" s="544"/>
      <c r="B101" s="546"/>
      <c r="C101" s="198" t="s">
        <v>22</v>
      </c>
      <c r="D101" s="198" t="s">
        <v>21</v>
      </c>
      <c r="E101" s="550"/>
      <c r="F101" s="552"/>
      <c r="G101" s="198" t="s">
        <v>228</v>
      </c>
      <c r="H101" s="208" t="s">
        <v>20</v>
      </c>
      <c r="I101" s="188" t="s">
        <v>23</v>
      </c>
      <c r="J101" s="188" t="s">
        <v>229</v>
      </c>
    </row>
    <row r="102" spans="1:10" s="175" customFormat="1" ht="21" customHeight="1" x14ac:dyDescent="0.25">
      <c r="A102" s="199">
        <v>1</v>
      </c>
      <c r="B102" s="212"/>
      <c r="C102" s="200"/>
      <c r="D102" s="201"/>
      <c r="E102" s="201"/>
      <c r="F102" s="202"/>
      <c r="G102" s="201"/>
      <c r="H102" s="201"/>
      <c r="I102" s="201"/>
      <c r="J102" s="201"/>
    </row>
    <row r="103" spans="1:10" s="175" customFormat="1" ht="21" customHeight="1" x14ac:dyDescent="0.25">
      <c r="A103" s="199">
        <v>2</v>
      </c>
      <c r="B103" s="212"/>
      <c r="C103" s="200"/>
      <c r="D103" s="201"/>
      <c r="E103" s="201"/>
      <c r="F103" s="201"/>
      <c r="G103" s="201"/>
      <c r="H103" s="201"/>
      <c r="I103" s="201"/>
      <c r="J103" s="201"/>
    </row>
    <row r="104" spans="1:10" s="175" customFormat="1" ht="21" customHeight="1" x14ac:dyDescent="0.25">
      <c r="A104" s="199">
        <v>3</v>
      </c>
      <c r="B104" s="212"/>
      <c r="C104" s="200"/>
      <c r="D104" s="201"/>
      <c r="E104" s="201"/>
      <c r="F104" s="201"/>
      <c r="G104" s="201"/>
      <c r="H104" s="201"/>
      <c r="I104" s="201"/>
      <c r="J104" s="201"/>
    </row>
    <row r="105" spans="1:10" s="175" customFormat="1" ht="21" customHeight="1" x14ac:dyDescent="0.25">
      <c r="A105" s="199">
        <v>4</v>
      </c>
      <c r="B105" s="212"/>
      <c r="C105" s="200"/>
      <c r="D105" s="201"/>
      <c r="E105" s="201"/>
      <c r="F105" s="201"/>
      <c r="G105" s="201"/>
      <c r="H105" s="201"/>
      <c r="I105" s="201"/>
      <c r="J105" s="201"/>
    </row>
    <row r="106" spans="1:10" s="175" customFormat="1" ht="21" customHeight="1" x14ac:dyDescent="0.25">
      <c r="A106" s="199">
        <v>5</v>
      </c>
      <c r="B106" s="212"/>
      <c r="C106" s="200"/>
      <c r="D106" s="201"/>
      <c r="E106" s="201"/>
      <c r="F106" s="201"/>
      <c r="G106" s="201"/>
      <c r="H106" s="201"/>
      <c r="I106" s="201"/>
      <c r="J106" s="201"/>
    </row>
    <row r="107" spans="1:10" s="175" customFormat="1" ht="21" customHeight="1" x14ac:dyDescent="0.25">
      <c r="A107" s="199">
        <v>6</v>
      </c>
      <c r="B107" s="212"/>
      <c r="C107" s="200"/>
      <c r="D107" s="201"/>
      <c r="E107" s="201"/>
      <c r="F107" s="201"/>
      <c r="G107" s="201"/>
      <c r="H107" s="201"/>
      <c r="I107" s="201"/>
      <c r="J107" s="201"/>
    </row>
    <row r="108" spans="1:10" s="175" customFormat="1" ht="21" customHeight="1" x14ac:dyDescent="0.25">
      <c r="A108" s="199">
        <v>7</v>
      </c>
      <c r="B108" s="212"/>
      <c r="C108" s="200"/>
      <c r="D108" s="201"/>
      <c r="E108" s="201"/>
      <c r="F108" s="201"/>
      <c r="G108" s="201"/>
      <c r="H108" s="201"/>
      <c r="I108" s="201"/>
      <c r="J108" s="201"/>
    </row>
    <row r="109" spans="1:10" s="175" customFormat="1" ht="21" customHeight="1" x14ac:dyDescent="0.25">
      <c r="A109" s="199">
        <v>8</v>
      </c>
      <c r="B109" s="212"/>
      <c r="C109" s="200"/>
      <c r="D109" s="201"/>
      <c r="E109" s="202"/>
      <c r="F109" s="202"/>
      <c r="G109" s="201"/>
      <c r="H109" s="201"/>
      <c r="I109" s="201"/>
      <c r="J109" s="201"/>
    </row>
    <row r="110" spans="1:10" s="175" customFormat="1" ht="21" customHeight="1" x14ac:dyDescent="0.25">
      <c r="A110" s="199">
        <v>9</v>
      </c>
      <c r="B110" s="212"/>
      <c r="C110" s="200"/>
      <c r="D110" s="201"/>
      <c r="E110" s="202"/>
      <c r="F110" s="202"/>
      <c r="G110" s="201"/>
      <c r="H110" s="201"/>
      <c r="I110" s="201"/>
      <c r="J110" s="201"/>
    </row>
    <row r="111" spans="1:10" s="175" customFormat="1" ht="21" customHeight="1" x14ac:dyDescent="0.25">
      <c r="A111" s="199">
        <v>10</v>
      </c>
      <c r="B111" s="212"/>
      <c r="C111" s="200"/>
      <c r="D111" s="201"/>
      <c r="E111" s="202"/>
      <c r="F111" s="203"/>
      <c r="G111" s="201"/>
      <c r="H111" s="201"/>
      <c r="I111" s="201"/>
      <c r="J111" s="201"/>
    </row>
    <row r="112" spans="1:10" s="175" customFormat="1" ht="21" customHeight="1" x14ac:dyDescent="0.25">
      <c r="A112" s="199">
        <v>11</v>
      </c>
      <c r="B112" s="212"/>
      <c r="C112" s="200"/>
      <c r="D112" s="201"/>
      <c r="E112" s="202"/>
      <c r="F112" s="203"/>
      <c r="G112" s="201"/>
      <c r="H112" s="201"/>
      <c r="I112" s="201"/>
      <c r="J112" s="201"/>
    </row>
    <row r="113" spans="1:10" s="175" customFormat="1" ht="21" customHeight="1" x14ac:dyDescent="0.25">
      <c r="A113" s="199">
        <v>12</v>
      </c>
      <c r="B113" s="212"/>
      <c r="C113" s="200"/>
      <c r="D113" s="201"/>
      <c r="E113" s="202"/>
      <c r="F113" s="203"/>
      <c r="G113" s="201"/>
      <c r="H113" s="201"/>
      <c r="I113" s="201"/>
      <c r="J113" s="201"/>
    </row>
    <row r="114" spans="1:10" s="175" customFormat="1" ht="21" customHeight="1" x14ac:dyDescent="0.25">
      <c r="A114" s="199">
        <v>13</v>
      </c>
      <c r="B114" s="212"/>
      <c r="C114" s="200"/>
      <c r="D114" s="201"/>
      <c r="E114" s="202"/>
      <c r="F114" s="203"/>
      <c r="G114" s="201"/>
      <c r="H114" s="201"/>
      <c r="I114" s="201"/>
      <c r="J114" s="201"/>
    </row>
    <row r="115" spans="1:10" s="175" customFormat="1" ht="21" customHeight="1" x14ac:dyDescent="0.25">
      <c r="A115" s="199">
        <v>14</v>
      </c>
      <c r="B115" s="212"/>
      <c r="C115" s="200"/>
      <c r="D115" s="201"/>
      <c r="E115" s="203"/>
      <c r="F115" s="203"/>
      <c r="G115" s="201"/>
      <c r="H115" s="201"/>
      <c r="I115" s="201"/>
      <c r="J115" s="201"/>
    </row>
    <row r="116" spans="1:10" s="175" customFormat="1" ht="21" customHeight="1" x14ac:dyDescent="0.25">
      <c r="A116" s="199">
        <v>15</v>
      </c>
      <c r="B116" s="212"/>
      <c r="C116" s="200"/>
      <c r="D116" s="201"/>
      <c r="E116" s="203"/>
      <c r="F116" s="203"/>
      <c r="G116" s="201"/>
      <c r="H116" s="201"/>
      <c r="I116" s="201"/>
      <c r="J116" s="201"/>
    </row>
    <row r="117" spans="1:10" s="175" customFormat="1" ht="21" customHeight="1" x14ac:dyDescent="0.25">
      <c r="A117" s="199">
        <v>16</v>
      </c>
      <c r="B117" s="212"/>
      <c r="C117" s="200"/>
      <c r="D117" s="201"/>
      <c r="E117" s="203"/>
      <c r="F117" s="203"/>
      <c r="G117" s="201"/>
      <c r="H117" s="201"/>
      <c r="I117" s="201"/>
      <c r="J117" s="201"/>
    </row>
    <row r="118" spans="1:10" s="175" customFormat="1" ht="12" customHeight="1" x14ac:dyDescent="0.25">
      <c r="A118" s="173"/>
      <c r="B118" s="178"/>
      <c r="C118" s="173"/>
      <c r="D118" s="204"/>
      <c r="E118" s="205"/>
      <c r="F118" s="205"/>
      <c r="G118" s="204"/>
      <c r="H118" s="204"/>
      <c r="I118" s="204"/>
      <c r="J118" s="204"/>
    </row>
    <row r="119" spans="1:10" ht="20.100000000000001" customHeight="1" x14ac:dyDescent="0.25">
      <c r="A119" s="541" t="s">
        <v>250</v>
      </c>
      <c r="B119" s="541"/>
      <c r="C119" s="541"/>
      <c r="D119" s="541"/>
      <c r="E119" s="541"/>
    </row>
    <row r="120" spans="1:10" ht="12" customHeight="1" x14ac:dyDescent="0.25">
      <c r="E120" s="181"/>
    </row>
    <row r="121" spans="1:10" ht="15" customHeight="1" x14ac:dyDescent="0.25">
      <c r="A121" s="542" t="s">
        <v>251</v>
      </c>
      <c r="B121" s="542"/>
      <c r="C121" s="542"/>
      <c r="D121" s="542"/>
      <c r="E121" s="542"/>
      <c r="F121" s="542"/>
      <c r="G121" s="542"/>
      <c r="H121" s="542"/>
      <c r="I121" s="542"/>
      <c r="J121" s="542"/>
    </row>
    <row r="122" spans="1:10" ht="15" customHeight="1" x14ac:dyDescent="0.25">
      <c r="A122" s="542"/>
      <c r="B122" s="542"/>
      <c r="C122" s="542"/>
      <c r="D122" s="542"/>
      <c r="E122" s="542"/>
      <c r="F122" s="542"/>
      <c r="G122" s="542"/>
      <c r="H122" s="542"/>
      <c r="I122" s="542"/>
      <c r="J122" s="542"/>
    </row>
    <row r="123" spans="1:10" ht="33" customHeight="1" x14ac:dyDescent="0.25">
      <c r="A123" s="542"/>
      <c r="B123" s="542"/>
      <c r="C123" s="542"/>
      <c r="D123" s="542"/>
      <c r="E123" s="542"/>
      <c r="F123" s="542"/>
      <c r="G123" s="542"/>
      <c r="H123" s="542"/>
      <c r="I123" s="542"/>
      <c r="J123" s="542"/>
    </row>
    <row r="124" spans="1:10" ht="12" customHeight="1" thickBot="1" x14ac:dyDescent="0.3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</row>
    <row r="125" spans="1:10" s="175" customFormat="1" ht="3" customHeight="1" thickTop="1" thickBot="1" x14ac:dyDescent="0.3">
      <c r="A125" s="167"/>
      <c r="B125" s="168"/>
      <c r="C125" s="168"/>
      <c r="D125" s="168"/>
      <c r="E125" s="168"/>
      <c r="F125" s="168"/>
      <c r="G125" s="169"/>
      <c r="H125" s="170"/>
      <c r="I125" s="170"/>
      <c r="J125" s="170"/>
    </row>
    <row r="126" spans="1:10" s="175" customFormat="1" ht="15" customHeight="1" thickTop="1" x14ac:dyDescent="0.25">
      <c r="A126" s="173"/>
      <c r="B126" s="173"/>
      <c r="C126" s="173"/>
      <c r="D126" s="204"/>
      <c r="E126" s="205"/>
      <c r="F126" s="205"/>
      <c r="G126" s="204"/>
      <c r="H126" s="204"/>
      <c r="I126" s="204"/>
      <c r="J126" s="204"/>
    </row>
    <row r="127" spans="1:10" s="175" customFormat="1" ht="15" customHeight="1" x14ac:dyDescent="0.25">
      <c r="A127" s="173"/>
      <c r="B127" s="173"/>
      <c r="C127" s="173"/>
      <c r="D127" s="204"/>
      <c r="E127" s="205"/>
      <c r="F127" s="205"/>
      <c r="G127" s="204"/>
      <c r="H127" s="204"/>
      <c r="I127" s="204"/>
      <c r="J127" s="204"/>
    </row>
    <row r="128" spans="1:10" s="175" customFormat="1" ht="15" customHeight="1" x14ac:dyDescent="0.25">
      <c r="A128" s="173"/>
      <c r="B128" s="173"/>
      <c r="C128" s="173"/>
      <c r="D128" s="204"/>
      <c r="E128" s="205"/>
      <c r="F128" s="205"/>
      <c r="G128" s="204"/>
      <c r="H128" s="204"/>
      <c r="I128" s="204"/>
      <c r="J128" s="204"/>
    </row>
    <row r="129" spans="1:10" s="175" customFormat="1" ht="15" customHeight="1" x14ac:dyDescent="0.25">
      <c r="A129" s="211"/>
      <c r="B129" s="211"/>
      <c r="C129" s="211"/>
      <c r="D129" s="204"/>
      <c r="E129" s="205"/>
      <c r="F129" s="205"/>
      <c r="G129" s="204"/>
      <c r="H129" s="204"/>
      <c r="I129" s="204"/>
      <c r="J129" s="204"/>
    </row>
    <row r="130" spans="1:10" s="175" customFormat="1" ht="15" customHeight="1" x14ac:dyDescent="0.25">
      <c r="A130" s="211"/>
      <c r="B130" s="211"/>
      <c r="C130" s="211"/>
      <c r="D130" s="204"/>
      <c r="E130" s="205"/>
      <c r="F130" s="205"/>
      <c r="G130" s="204"/>
      <c r="H130" s="204"/>
      <c r="I130" s="204"/>
      <c r="J130" s="204"/>
    </row>
    <row r="131" spans="1:10" s="175" customFormat="1" ht="15" customHeight="1" thickBot="1" x14ac:dyDescent="0.3">
      <c r="A131" s="173"/>
      <c r="B131" s="173"/>
      <c r="C131" s="173"/>
      <c r="D131" s="204"/>
      <c r="E131" s="205"/>
      <c r="F131" s="205"/>
      <c r="G131" s="204"/>
      <c r="H131" s="204"/>
      <c r="I131" s="204"/>
      <c r="J131" s="204"/>
    </row>
    <row r="132" spans="1:10" s="175" customFormat="1" ht="3" customHeight="1" thickTop="1" thickBot="1" x14ac:dyDescent="0.3">
      <c r="A132" s="167"/>
      <c r="B132" s="168"/>
      <c r="C132" s="168"/>
      <c r="D132" s="168"/>
      <c r="E132" s="168"/>
      <c r="F132" s="168"/>
      <c r="G132" s="169"/>
      <c r="H132" s="170"/>
      <c r="I132" s="170"/>
      <c r="J132" s="170"/>
    </row>
    <row r="133" spans="1:10" s="175" customFormat="1" ht="12" customHeight="1" thickTop="1" x14ac:dyDescent="0.25">
      <c r="A133" s="171"/>
      <c r="B133" s="172"/>
      <c r="C133" s="172"/>
      <c r="D133" s="172"/>
      <c r="E133" s="172"/>
      <c r="F133" s="172"/>
      <c r="G133" s="173"/>
      <c r="H133" s="174"/>
      <c r="I133" s="174"/>
      <c r="J133" s="174"/>
    </row>
    <row r="134" spans="1:10" ht="20.100000000000001" customHeight="1" x14ac:dyDescent="0.25">
      <c r="A134" s="543" t="s">
        <v>230</v>
      </c>
      <c r="B134" s="543"/>
      <c r="C134" s="543"/>
      <c r="D134" s="543"/>
    </row>
    <row r="135" spans="1:10" ht="12" customHeight="1" x14ac:dyDescent="0.25">
      <c r="A135" s="181"/>
    </row>
    <row r="136" spans="1:10" ht="15" customHeight="1" x14ac:dyDescent="0.25">
      <c r="B136" s="537" t="s">
        <v>252</v>
      </c>
      <c r="C136" s="537"/>
      <c r="D136" s="537"/>
      <c r="E136" s="537"/>
      <c r="F136" s="537"/>
      <c r="G136" s="537"/>
    </row>
    <row r="137" spans="1:10" ht="15" customHeight="1" x14ac:dyDescent="0.25">
      <c r="B137" s="537" t="s">
        <v>231</v>
      </c>
      <c r="C137" s="537"/>
      <c r="D137" s="537"/>
      <c r="E137" s="537"/>
      <c r="F137" s="537"/>
    </row>
    <row r="138" spans="1:10" ht="15" customHeight="1" x14ac:dyDescent="0.25">
      <c r="B138" s="536" t="s">
        <v>232</v>
      </c>
      <c r="C138" s="536"/>
      <c r="D138" s="536"/>
      <c r="E138" s="536"/>
      <c r="F138" s="536"/>
    </row>
    <row r="139" spans="1:10" ht="15" customHeight="1" x14ac:dyDescent="0.25">
      <c r="B139" s="537" t="s">
        <v>233</v>
      </c>
      <c r="C139" s="537"/>
      <c r="D139" s="537"/>
      <c r="E139" s="537"/>
      <c r="F139" s="537"/>
    </row>
    <row r="141" spans="1:10" x14ac:dyDescent="0.25">
      <c r="A141" s="538"/>
      <c r="B141" s="538"/>
      <c r="C141" s="538"/>
      <c r="D141" s="538"/>
      <c r="E141" s="538"/>
      <c r="F141" s="538"/>
      <c r="G141" s="539"/>
      <c r="H141" s="180"/>
    </row>
    <row r="143" spans="1:10" ht="20.100000000000001" customHeight="1" x14ac:dyDescent="0.25">
      <c r="A143" s="540" t="s">
        <v>37</v>
      </c>
      <c r="B143" s="540"/>
      <c r="C143" s="540"/>
      <c r="D143" s="540"/>
      <c r="E143" s="540"/>
    </row>
    <row r="144" spans="1:10" ht="12" customHeight="1" x14ac:dyDescent="0.25"/>
    <row r="145" spans="1:10" ht="12" customHeight="1" x14ac:dyDescent="0.25"/>
    <row r="146" spans="1:10" ht="12" customHeight="1" x14ac:dyDescent="0.25"/>
    <row r="147" spans="1:10" ht="12" customHeight="1" x14ac:dyDescent="0.25"/>
    <row r="148" spans="1:10" ht="12" customHeight="1" x14ac:dyDescent="0.25">
      <c r="A148" s="206"/>
      <c r="B148" s="534" t="s">
        <v>234</v>
      </c>
      <c r="C148" s="534"/>
      <c r="D148" s="534"/>
      <c r="E148" s="534"/>
      <c r="G148" s="534" t="s">
        <v>38</v>
      </c>
      <c r="H148" s="534"/>
      <c r="I148" s="534"/>
    </row>
    <row r="149" spans="1:10" ht="15" customHeight="1" x14ac:dyDescent="0.25">
      <c r="B149" s="534" t="s">
        <v>235</v>
      </c>
      <c r="C149" s="534"/>
      <c r="D149" s="534"/>
      <c r="E149" s="180"/>
      <c r="F149" s="180"/>
      <c r="G149" s="534" t="s">
        <v>236</v>
      </c>
      <c r="H149" s="534"/>
      <c r="I149" s="534"/>
    </row>
    <row r="150" spans="1:10" ht="15" customHeight="1" x14ac:dyDescent="0.25">
      <c r="B150" s="534" t="s">
        <v>39</v>
      </c>
      <c r="C150" s="534"/>
      <c r="D150" s="534"/>
      <c r="E150" s="534"/>
      <c r="F150" s="180"/>
      <c r="G150" s="534" t="s">
        <v>253</v>
      </c>
      <c r="H150" s="534"/>
      <c r="I150" s="534"/>
      <c r="J150" s="534"/>
    </row>
    <row r="151" spans="1:10" ht="20.100000000000001" customHeight="1" x14ac:dyDescent="0.25">
      <c r="B151" s="535" t="s">
        <v>255</v>
      </c>
      <c r="C151" s="535"/>
      <c r="D151" s="535"/>
      <c r="E151" s="535"/>
      <c r="G151" s="535" t="s">
        <v>256</v>
      </c>
      <c r="H151" s="535"/>
      <c r="I151" s="535"/>
      <c r="J151" s="535"/>
    </row>
    <row r="153" spans="1:10" ht="15" customHeight="1" x14ac:dyDescent="0.25">
      <c r="B153" s="206"/>
      <c r="C153" s="206"/>
      <c r="D153" s="206"/>
      <c r="E153" s="207"/>
    </row>
    <row r="154" spans="1:10" ht="15" customHeight="1" x14ac:dyDescent="0.25">
      <c r="B154" s="180" t="s">
        <v>254</v>
      </c>
      <c r="C154" s="180"/>
      <c r="D154" s="180"/>
      <c r="E154" s="180"/>
      <c r="G154" s="214">
        <v>42798</v>
      </c>
    </row>
    <row r="157" spans="1:10" x14ac:dyDescent="0.25">
      <c r="C157" s="531" t="s">
        <v>237</v>
      </c>
      <c r="D157" s="531"/>
      <c r="E157" s="531"/>
      <c r="F157" s="531"/>
      <c r="G157" s="531"/>
      <c r="H157" s="531"/>
    </row>
    <row r="163" spans="1:10" ht="12" customHeight="1" x14ac:dyDescent="0.25"/>
    <row r="164" spans="1:10" ht="12" customHeight="1" x14ac:dyDescent="0.25"/>
    <row r="165" spans="1:10" ht="12" customHeight="1" x14ac:dyDescent="0.25"/>
    <row r="166" spans="1:10" ht="12" customHeight="1" x14ac:dyDescent="0.25"/>
    <row r="167" spans="1:10" ht="12" customHeight="1" x14ac:dyDescent="0.25"/>
    <row r="168" spans="1:10" ht="12" customHeight="1" x14ac:dyDescent="0.25"/>
    <row r="169" spans="1:10" ht="12" customHeight="1" thickBot="1" x14ac:dyDescent="0.3"/>
    <row r="170" spans="1:10" ht="3" customHeight="1" thickTop="1" thickBot="1" x14ac:dyDescent="0.3">
      <c r="A170" s="167"/>
      <c r="B170" s="168"/>
      <c r="C170" s="168"/>
      <c r="D170" s="168"/>
      <c r="E170" s="168"/>
      <c r="F170" s="168"/>
      <c r="G170" s="169"/>
      <c r="H170" s="170"/>
      <c r="I170" s="170"/>
      <c r="J170" s="170"/>
    </row>
    <row r="171" spans="1:10" ht="12" customHeight="1" thickTop="1" x14ac:dyDescent="0.25"/>
    <row r="172" spans="1:10" ht="12" customHeight="1" x14ac:dyDescent="0.25"/>
    <row r="173" spans="1:10" ht="12" customHeight="1" x14ac:dyDescent="0.25"/>
    <row r="174" spans="1:10" ht="12" customHeight="1" x14ac:dyDescent="0.25"/>
    <row r="175" spans="1:10" ht="4.5" customHeight="1" x14ac:dyDescent="0.25"/>
  </sheetData>
  <sheetProtection algorithmName="SHA-512" hashValue="pZsBCLvpjf47tQMlWwFij6zU1tVneM+NRA51Cedikldh6fEy9FDrpyo+GM5zoEd3PDWKOUVGH2wx1RXqiVBTrQ==" saltValue="CV46XzJytMS6W99mOWPuAw==" spinCount="100000" sheet="1" objects="1" scenarios="1"/>
  <mergeCells count="82">
    <mergeCell ref="A57:E57"/>
    <mergeCell ref="A59:J62"/>
    <mergeCell ref="A6:C6"/>
    <mergeCell ref="A8:B8"/>
    <mergeCell ref="A9:B9"/>
    <mergeCell ref="D9:F9"/>
    <mergeCell ref="D8:E8"/>
    <mergeCell ref="D16:G16"/>
    <mergeCell ref="A16:C16"/>
    <mergeCell ref="D10:E10"/>
    <mergeCell ref="A17:C17"/>
    <mergeCell ref="A12:C12"/>
    <mergeCell ref="A10:B10"/>
    <mergeCell ref="A55:B55"/>
    <mergeCell ref="C55:D55"/>
    <mergeCell ref="E55:F55"/>
    <mergeCell ref="G55:H55"/>
    <mergeCell ref="I55:J55"/>
    <mergeCell ref="D12:E12"/>
    <mergeCell ref="F12:G12"/>
    <mergeCell ref="H12:I12"/>
    <mergeCell ref="A14:E14"/>
    <mergeCell ref="D17:G17"/>
    <mergeCell ref="A18:C18"/>
    <mergeCell ref="D18:G18"/>
    <mergeCell ref="A19:C19"/>
    <mergeCell ref="A20:C20"/>
    <mergeCell ref="D20:G20"/>
    <mergeCell ref="A22:F22"/>
    <mergeCell ref="A24:D24"/>
    <mergeCell ref="E24:J24"/>
    <mergeCell ref="B25:E25"/>
    <mergeCell ref="A38:J38"/>
    <mergeCell ref="A40:G40"/>
    <mergeCell ref="A49:G49"/>
    <mergeCell ref="A51:G51"/>
    <mergeCell ref="A26:D26"/>
    <mergeCell ref="A28:G28"/>
    <mergeCell ref="A30:I30"/>
    <mergeCell ref="A34:J34"/>
    <mergeCell ref="A36:D36"/>
    <mergeCell ref="A53:B54"/>
    <mergeCell ref="C53:D54"/>
    <mergeCell ref="E53:F54"/>
    <mergeCell ref="G53:J53"/>
    <mergeCell ref="G54:H54"/>
    <mergeCell ref="I54:J54"/>
    <mergeCell ref="A64:C64"/>
    <mergeCell ref="F64:G64"/>
    <mergeCell ref="H64:J64"/>
    <mergeCell ref="A65:C65"/>
    <mergeCell ref="F65:G65"/>
    <mergeCell ref="H65:J65"/>
    <mergeCell ref="A121:J123"/>
    <mergeCell ref="A134:D134"/>
    <mergeCell ref="B136:G136"/>
    <mergeCell ref="B137:F137"/>
    <mergeCell ref="A67:I67"/>
    <mergeCell ref="A69:J69"/>
    <mergeCell ref="A98:E98"/>
    <mergeCell ref="A100:A101"/>
    <mergeCell ref="B100:B101"/>
    <mergeCell ref="C100:D100"/>
    <mergeCell ref="E100:E101"/>
    <mergeCell ref="F100:F101"/>
    <mergeCell ref="G100:I100"/>
    <mergeCell ref="C157:H157"/>
    <mergeCell ref="D19:J19"/>
    <mergeCell ref="A90:G90"/>
    <mergeCell ref="B149:D149"/>
    <mergeCell ref="G149:I149"/>
    <mergeCell ref="B150:E150"/>
    <mergeCell ref="G150:J150"/>
    <mergeCell ref="B151:E151"/>
    <mergeCell ref="G151:J151"/>
    <mergeCell ref="B138:F138"/>
    <mergeCell ref="B139:F139"/>
    <mergeCell ref="A141:G141"/>
    <mergeCell ref="A143:E143"/>
    <mergeCell ref="B148:E148"/>
    <mergeCell ref="G148:I148"/>
    <mergeCell ref="A119:E119"/>
  </mergeCells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>&amp;L&amp;G&amp;C&amp;"Arial Narrow,Negrita"&amp;14
                                  INFORME DE VERIFICACIONES INTERMEDIAS DE PESAS&amp;R
Informe&amp;"-,Negrita" No.VIP-001</oddHeader>
    <oddFooter>&amp;L
&amp;G
&amp;C&amp;"-,Negrita"&amp;8SUPERINTENDENCIA DE INDUSTRIA Y COMERCIO SEDE CAN
Laboratorio de calibración - Masa
Avenida Carrera 50 No. 26-55, Interior 5 INM
CONMUTADOR: (57) (1) 2542222
Bogotá. D.C. Colombia&amp;R
&amp;G
RT03-F23.Vr.0(2017-04-47)
&amp;P de &amp;N</oddFooter>
  </headerFooter>
  <rowBreaks count="1" manualBreakCount="1">
    <brk id="4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83"/>
  <sheetViews>
    <sheetView showGridLines="0" view="pageBreakPreview" topLeftCell="A34" zoomScale="60" zoomScaleNormal="60" workbookViewId="0">
      <selection activeCell="D48" sqref="D48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130</v>
      </c>
      <c r="E9" s="23"/>
      <c r="F9" s="24" t="s">
        <v>48</v>
      </c>
      <c r="G9" s="159">
        <v>11119515</v>
      </c>
      <c r="H9" s="26" t="s">
        <v>49</v>
      </c>
      <c r="I9" s="28">
        <v>1</v>
      </c>
      <c r="J9" s="23"/>
    </row>
    <row r="10" spans="1:12" ht="31.5" customHeight="1" thickBot="1" x14ac:dyDescent="0.3">
      <c r="A10" s="235" t="s">
        <v>50</v>
      </c>
      <c r="B10" s="236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1</v>
      </c>
      <c r="I10" s="29" t="s">
        <v>1</v>
      </c>
      <c r="J10" s="23"/>
    </row>
    <row r="11" spans="1:12" s="36" customFormat="1" ht="31.5" customHeight="1" thickBot="1" x14ac:dyDescent="0.3">
      <c r="A11" s="402" t="s">
        <v>53</v>
      </c>
      <c r="B11" s="403"/>
      <c r="C11" s="246">
        <v>1</v>
      </c>
      <c r="D11" s="245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6">
        <v>6.0000000000000001E-3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7">
        <v>0.01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thickBot="1" x14ac:dyDescent="0.3">
      <c r="A14" s="392" t="s">
        <v>57</v>
      </c>
      <c r="B14" s="393"/>
      <c r="C14" s="246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thickBot="1" x14ac:dyDescent="0.3">
      <c r="A15" s="392" t="s">
        <v>59</v>
      </c>
      <c r="B15" s="393"/>
      <c r="C15" s="246">
        <v>30</v>
      </c>
      <c r="D15" s="29" t="s">
        <v>112</v>
      </c>
      <c r="E15" s="34"/>
      <c r="F15" s="24" t="s">
        <v>24</v>
      </c>
      <c r="G15" s="28" t="s">
        <v>125</v>
      </c>
      <c r="H15" s="239" t="s">
        <v>48</v>
      </c>
      <c r="I15" s="240" t="s">
        <v>126</v>
      </c>
      <c r="J15" s="34"/>
    </row>
    <row r="16" spans="1:12" ht="31.5" customHeight="1" thickBot="1" x14ac:dyDescent="0.3">
      <c r="A16" s="404" t="s">
        <v>60</v>
      </c>
      <c r="B16" s="405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08"/>
      <c r="H16" s="241">
        <v>1.0000000000000001E-5</v>
      </c>
      <c r="I16" s="242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20.5</v>
      </c>
      <c r="F24" s="420" t="s">
        <v>65</v>
      </c>
      <c r="G24" s="421"/>
      <c r="H24" s="47">
        <v>57</v>
      </c>
      <c r="I24" s="48" t="s">
        <v>23</v>
      </c>
      <c r="J24" s="49">
        <v>751.7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20.7</v>
      </c>
      <c r="F33" s="420" t="s">
        <v>65</v>
      </c>
      <c r="G33" s="421"/>
      <c r="H33" s="47">
        <v>57.6</v>
      </c>
      <c r="I33" s="48" t="s">
        <v>23</v>
      </c>
      <c r="J33" s="49">
        <v>751.3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0</v>
      </c>
      <c r="D41" s="104">
        <f t="shared" ref="D41:H41" si="1">+AVERAGE(D29:D30)</f>
        <v>0</v>
      </c>
      <c r="E41" s="104">
        <f t="shared" si="1"/>
        <v>0</v>
      </c>
      <c r="F41" s="104">
        <f t="shared" si="1"/>
        <v>0</v>
      </c>
      <c r="G41" s="104">
        <f t="shared" si="1"/>
        <v>0</v>
      </c>
      <c r="H41" s="105">
        <f t="shared" si="1"/>
        <v>0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0</v>
      </c>
      <c r="D42" s="107">
        <f t="shared" ref="D42:H42" si="2">+D41-D40</f>
        <v>0</v>
      </c>
      <c r="E42" s="107">
        <f t="shared" si="2"/>
        <v>0</v>
      </c>
      <c r="F42" s="107">
        <f t="shared" si="2"/>
        <v>0</v>
      </c>
      <c r="G42" s="107">
        <f t="shared" si="2"/>
        <v>0</v>
      </c>
      <c r="H42" s="108">
        <f t="shared" si="2"/>
        <v>0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0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0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20.6</v>
      </c>
      <c r="E48" s="23"/>
      <c r="F48" s="413" t="s">
        <v>80</v>
      </c>
      <c r="G48" s="414"/>
      <c r="H48" s="110">
        <f>+(0.34848*D50-0.009024*D49*EXP(0.0612*D48))/(273.15+D48)</f>
        <v>0.88530552855472411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57.3</v>
      </c>
      <c r="E49" s="23"/>
      <c r="F49" s="452" t="s">
        <v>82</v>
      </c>
      <c r="G49" s="453"/>
      <c r="H49" s="111">
        <f>+H48*((0.001)^2+(0.0001*I20/2)^2+(-0.0034*D20/2)^2+(-0.1*G20/2)^2)^0.5</f>
        <v>7.5256779443564556E-2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0</v>
      </c>
      <c r="C54" s="127" t="s">
        <v>1</v>
      </c>
      <c r="D54" s="121">
        <f>+C11+C12/1000</f>
        <v>1.000006</v>
      </c>
      <c r="E54" s="127" t="s">
        <v>1</v>
      </c>
      <c r="F54" s="121">
        <f>+(H48-H50)*(1/H11-1/C14)</f>
        <v>-2.4740131402930211E-7</v>
      </c>
      <c r="G54" s="128"/>
      <c r="H54" s="65">
        <f>+(B54+D54*F54)*1000</f>
        <v>-2.4740279843718624E-4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0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5.0000000000000001E-3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5.773502691896258E-3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7.6376261582597332E-3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7.5256779443564556E-2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3.4602154145104764E-4</v>
      </c>
      <c r="D66" s="94" t="s">
        <v>3</v>
      </c>
      <c r="E66" s="75"/>
      <c r="F66" s="442" t="s">
        <v>101</v>
      </c>
      <c r="G66" s="443"/>
      <c r="H66" s="129">
        <f>+SQRT(SUMSQ(C59,C62,C66,C67))</f>
        <v>8.6671639483252051E-3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1.733432789665041E-2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1</v>
      </c>
      <c r="B73" s="119">
        <f>C12</f>
        <v>6.0000000000000001E-3</v>
      </c>
      <c r="C73" s="120">
        <f>H54</f>
        <v>-2.4740279843718624E-4</v>
      </c>
      <c r="D73" s="121">
        <f>A73+B73/1000+C73/1000</f>
        <v>1.0000057525972015</v>
      </c>
      <c r="E73" s="107">
        <f>A73*1000-D73*1000</f>
        <v>-5.7525972015355364E-3</v>
      </c>
      <c r="F73" s="107" t="s">
        <v>3</v>
      </c>
      <c r="G73" s="92">
        <f>D73+E73/1000</f>
        <v>1</v>
      </c>
      <c r="H73" s="436"/>
      <c r="I73" s="154">
        <f>H67</f>
        <v>1.733432789665041E-2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A70:J70"/>
    <mergeCell ref="A46:J46"/>
    <mergeCell ref="A52:J52"/>
    <mergeCell ref="A56:J56"/>
    <mergeCell ref="A18:J18"/>
    <mergeCell ref="F66:G66"/>
    <mergeCell ref="F67:G67"/>
    <mergeCell ref="D53:E53"/>
    <mergeCell ref="H53:I53"/>
    <mergeCell ref="A58:B58"/>
    <mergeCell ref="C58:D58"/>
    <mergeCell ref="B48:C48"/>
    <mergeCell ref="F48:G48"/>
    <mergeCell ref="B49:C49"/>
    <mergeCell ref="F49:G49"/>
    <mergeCell ref="B50:C50"/>
    <mergeCell ref="A71:D71"/>
    <mergeCell ref="G71:J71"/>
    <mergeCell ref="E72:F72"/>
    <mergeCell ref="H72:H73"/>
    <mergeCell ref="I72:J72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16:B16"/>
    <mergeCell ref="F16:G16"/>
    <mergeCell ref="F19:G19"/>
    <mergeCell ref="A20:B20"/>
    <mergeCell ref="E20:F20"/>
    <mergeCell ref="A15:B15"/>
    <mergeCell ref="A1:B1"/>
    <mergeCell ref="C1:J1"/>
    <mergeCell ref="A7:D7"/>
    <mergeCell ref="F7:I7"/>
    <mergeCell ref="F10:G10"/>
    <mergeCell ref="A11:B11"/>
    <mergeCell ref="F11:G11"/>
    <mergeCell ref="A12:B12"/>
    <mergeCell ref="F12:G12"/>
    <mergeCell ref="A13:B13"/>
    <mergeCell ref="A14:B14"/>
    <mergeCell ref="F14:I1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horizontalDpi="4294967293" r:id="rId1"/>
  <headerFooter>
    <oddHeader xml:space="preserve">&amp;C
&amp;16   
</oddHeader>
    <oddFooter>&amp;RRT03-F13Vr.0(2016-09-21)</oddFooter>
  </headerFooter>
  <rowBreaks count="1" manualBreakCount="1">
    <brk id="3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83"/>
  <sheetViews>
    <sheetView showGridLines="0" view="pageBreakPreview" topLeftCell="A11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131</v>
      </c>
      <c r="E9" s="23"/>
      <c r="F9" s="24" t="s">
        <v>48</v>
      </c>
      <c r="G9" s="159">
        <v>11119515</v>
      </c>
      <c r="H9" s="26" t="s">
        <v>49</v>
      </c>
      <c r="I9" s="28">
        <v>2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6.0000000000000001E-3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1.2E-2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20.8</v>
      </c>
      <c r="F24" s="420" t="s">
        <v>65</v>
      </c>
      <c r="G24" s="421"/>
      <c r="H24" s="47">
        <v>56.8</v>
      </c>
      <c r="I24" s="48" t="s">
        <v>23</v>
      </c>
      <c r="J24" s="49">
        <v>751.8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20.7</v>
      </c>
      <c r="F33" s="420" t="s">
        <v>65</v>
      </c>
      <c r="G33" s="421"/>
      <c r="H33" s="47">
        <v>56.9</v>
      </c>
      <c r="I33" s="48" t="s">
        <v>23</v>
      </c>
      <c r="J33" s="49">
        <v>750.3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0</v>
      </c>
      <c r="D41" s="104">
        <f t="shared" ref="D41:H41" si="1">+AVERAGE(D29:D30)</f>
        <v>0</v>
      </c>
      <c r="E41" s="104">
        <f t="shared" si="1"/>
        <v>0</v>
      </c>
      <c r="F41" s="104">
        <f t="shared" si="1"/>
        <v>0</v>
      </c>
      <c r="G41" s="104">
        <f t="shared" si="1"/>
        <v>0</v>
      </c>
      <c r="H41" s="105">
        <f t="shared" si="1"/>
        <v>0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0</v>
      </c>
      <c r="D42" s="107">
        <f t="shared" ref="D42:H42" si="2">+D41-D40</f>
        <v>0</v>
      </c>
      <c r="E42" s="107">
        <f t="shared" si="2"/>
        <v>0</v>
      </c>
      <c r="F42" s="107">
        <f t="shared" si="2"/>
        <v>0</v>
      </c>
      <c r="G42" s="107">
        <f t="shared" si="2"/>
        <v>0</v>
      </c>
      <c r="H42" s="108">
        <f t="shared" si="2"/>
        <v>0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0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0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20.75</v>
      </c>
      <c r="E48" s="23"/>
      <c r="F48" s="413" t="s">
        <v>80</v>
      </c>
      <c r="G48" s="414"/>
      <c r="H48" s="110">
        <f>+(0.34848*D50-0.009024*D49*EXP(0.0612*D48))/(273.15+D48)</f>
        <v>0.88431207222512853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56.849999999999994</v>
      </c>
      <c r="E49" s="23"/>
      <c r="F49" s="452" t="s">
        <v>82</v>
      </c>
      <c r="G49" s="453"/>
      <c r="H49" s="111">
        <f>+H48*((0.001)^2+(0.0001*I20/2)^2+(-0.0034*D20/2)^2+(-0.1*G20/2)^2)^0.5</f>
        <v>7.5172329136329666E-2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751.05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0</v>
      </c>
      <c r="C54" s="127" t="s">
        <v>1</v>
      </c>
      <c r="D54" s="121">
        <f>+C11+C12/1000</f>
        <v>2.000006</v>
      </c>
      <c r="E54" s="127" t="s">
        <v>1</v>
      </c>
      <c r="F54" s="121">
        <f>+(H48-H50)*(1/H11-1/C14)</f>
        <v>-2.4818233315634268E-7</v>
      </c>
      <c r="G54" s="128"/>
      <c r="H54" s="65">
        <f>+(B54+D54*F54)*1000</f>
        <v>-4.963661554066843E-4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0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6.0000000000000001E-3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6.9282032302755096E-3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9.1651513899116809E-3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7.5172329136329666E-2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6.9423685537777456E-4</v>
      </c>
      <c r="D66" s="94" t="s">
        <v>3</v>
      </c>
      <c r="E66" s="75"/>
      <c r="F66" s="442" t="s">
        <v>101</v>
      </c>
      <c r="G66" s="443"/>
      <c r="H66" s="129">
        <f>+SQRT(SUMSQ(C59,C62,C66,C67))</f>
        <v>1.0057267595029552E-2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2.0114535190059103E-2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</v>
      </c>
      <c r="B73" s="119">
        <f>C12</f>
        <v>6.0000000000000001E-3</v>
      </c>
      <c r="C73" s="120">
        <f>H54</f>
        <v>-4.963661554066843E-4</v>
      </c>
      <c r="D73" s="121">
        <f>A73+B73/1000+C73/1000</f>
        <v>2.0000055036338447</v>
      </c>
      <c r="E73" s="107">
        <f>A73*1000-D73*1000</f>
        <v>-5.5036338446825539E-3</v>
      </c>
      <c r="F73" s="107" t="s">
        <v>3</v>
      </c>
      <c r="G73" s="92">
        <f>D73+E73/1000</f>
        <v>2</v>
      </c>
      <c r="H73" s="436"/>
      <c r="I73" s="99">
        <f>H67</f>
        <v>2.0114535190059103E-2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83"/>
  <sheetViews>
    <sheetView showGridLines="0" view="pageBreakPreview" topLeftCell="A10" zoomScale="60" zoomScaleNormal="100" workbookViewId="0">
      <selection activeCell="I27" sqref="I27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132</v>
      </c>
      <c r="E9" s="23"/>
      <c r="F9" s="24" t="s">
        <v>48</v>
      </c>
      <c r="G9" s="159">
        <v>11119515</v>
      </c>
      <c r="H9" s="26" t="s">
        <v>49</v>
      </c>
      <c r="I9" s="28" t="s">
        <v>204</v>
      </c>
      <c r="J9" s="23"/>
    </row>
    <row r="10" spans="1:12" ht="31.5" customHeight="1" x14ac:dyDescent="0.25">
      <c r="A10" s="30" t="s">
        <v>50</v>
      </c>
      <c r="B10" s="25">
        <v>100405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</v>
      </c>
      <c r="D11" s="29" t="s">
        <v>1</v>
      </c>
      <c r="E11" s="34"/>
      <c r="F11" s="455" t="s">
        <v>54</v>
      </c>
      <c r="G11" s="456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1.2999999999999999E-2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1.2E-2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37">
        <v>1.0000000000000001E-5</v>
      </c>
      <c r="I16" s="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98">
        <v>0</v>
      </c>
      <c r="F24" s="420" t="s">
        <v>65</v>
      </c>
      <c r="G24" s="421"/>
      <c r="H24" s="47">
        <v>57.3</v>
      </c>
      <c r="I24" s="48" t="s">
        <v>23</v>
      </c>
      <c r="J24" s="49">
        <v>749.9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0</v>
      </c>
      <c r="D29" s="98">
        <v>0</v>
      </c>
      <c r="E29" s="98">
        <v>0</v>
      </c>
      <c r="F29" s="98">
        <v>0</v>
      </c>
      <c r="G29" s="98">
        <v>1.0000000000000001E-5</v>
      </c>
      <c r="H29" s="98">
        <v>1.0000000000000001E-5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20.9</v>
      </c>
      <c r="F33" s="420" t="s">
        <v>65</v>
      </c>
      <c r="G33" s="421"/>
      <c r="H33" s="47">
        <v>57.8</v>
      </c>
      <c r="I33" s="48" t="s">
        <v>23</v>
      </c>
      <c r="J33" s="49">
        <v>749.7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0</v>
      </c>
      <c r="D41" s="104">
        <f t="shared" ref="D41:H41" si="1">+AVERAGE(D29:D30)</f>
        <v>0</v>
      </c>
      <c r="E41" s="104">
        <f t="shared" si="1"/>
        <v>0</v>
      </c>
      <c r="F41" s="104">
        <f t="shared" si="1"/>
        <v>0</v>
      </c>
      <c r="G41" s="104">
        <f t="shared" si="1"/>
        <v>5.0000000000000004E-6</v>
      </c>
      <c r="H41" s="105">
        <f t="shared" si="1"/>
        <v>5.0000000000000004E-6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0</v>
      </c>
      <c r="D42" s="107">
        <f t="shared" ref="D42:H42" si="2">+D41-D40</f>
        <v>0</v>
      </c>
      <c r="E42" s="107">
        <f t="shared" si="2"/>
        <v>0</v>
      </c>
      <c r="F42" s="107">
        <f t="shared" si="2"/>
        <v>0</v>
      </c>
      <c r="G42" s="107">
        <f t="shared" si="2"/>
        <v>5.0000000000000004E-6</v>
      </c>
      <c r="H42" s="108">
        <f t="shared" si="2"/>
        <v>5.0000000000000004E-6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1.6666666666666669E-6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2.5819888974716113E-6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10.45</v>
      </c>
      <c r="E48" s="23"/>
      <c r="F48" s="413" t="s">
        <v>80</v>
      </c>
      <c r="G48" s="414"/>
      <c r="H48" s="110">
        <f>+(0.34848*D50-0.009024*D49*EXP(0.0612*D48))/(273.15+D48)</f>
        <v>0.91786267722060888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57.55</v>
      </c>
      <c r="E49" s="23"/>
      <c r="F49" s="452" t="s">
        <v>82</v>
      </c>
      <c r="G49" s="453"/>
      <c r="H49" s="111">
        <f>+H48*((0.001)^2+(0.0001*I20/2)^2+(-0.0034*D20/2)^2+(-0.1*G20/2)^2)^0.5</f>
        <v>7.8024350725379249E-2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749.8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1.6666666666666669E-6</v>
      </c>
      <c r="C54" s="127" t="s">
        <v>1</v>
      </c>
      <c r="D54" s="121">
        <f>+C11+C12/1000</f>
        <v>2.000013</v>
      </c>
      <c r="E54" s="127" t="s">
        <v>1</v>
      </c>
      <c r="F54" s="121">
        <f>+(H48-H50)*(1/H11-1/C14)</f>
        <v>-2.2180607136744333E-7</v>
      </c>
      <c r="G54" s="128"/>
      <c r="H54" s="65">
        <f>+(B54+D54*F54)*1000</f>
        <v>1.2230516404528524E-3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1.0540925533894599E-3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6.0000000000000001E-3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6.9282032302755096E-3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9.1651513899116809E-3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7.8024350725379249E-2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6.2030963937422033E-4</v>
      </c>
      <c r="D66" s="94" t="s">
        <v>3</v>
      </c>
      <c r="E66" s="75"/>
      <c r="F66" s="442" t="s">
        <v>101</v>
      </c>
      <c r="G66" s="443"/>
      <c r="H66" s="129">
        <f>+SQRT(SUMSQ(C59,C62,C66,C67))</f>
        <v>1.0107549743952704E-2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2.0215099487905407E-2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</v>
      </c>
      <c r="B73" s="119">
        <f>C12</f>
        <v>1.2999999999999999E-2</v>
      </c>
      <c r="C73" s="120">
        <f>H54</f>
        <v>1.2230516404528524E-3</v>
      </c>
      <c r="D73" s="121">
        <f>A73+B73/1000+C73/1000</f>
        <v>2.0000142230516404</v>
      </c>
      <c r="E73" s="107">
        <f>A73*1000-D73*1000</f>
        <v>-1.422305164055615E-2</v>
      </c>
      <c r="F73" s="107" t="s">
        <v>3</v>
      </c>
      <c r="G73" s="92">
        <f>D73+E73/1000</f>
        <v>2</v>
      </c>
      <c r="H73" s="436"/>
      <c r="I73" s="154">
        <f>H67</f>
        <v>2.0215099487905407E-2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83"/>
  <sheetViews>
    <sheetView showGridLines="0" view="pageBreakPreview" topLeftCell="A11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133</v>
      </c>
      <c r="E9" s="23"/>
      <c r="F9" s="24" t="s">
        <v>48</v>
      </c>
      <c r="G9" s="159">
        <v>11119515</v>
      </c>
      <c r="H9" s="26" t="s">
        <v>49</v>
      </c>
      <c r="I9" s="28">
        <v>5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5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5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2E-3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1.6E-2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20.399999999999999</v>
      </c>
      <c r="F24" s="420" t="s">
        <v>65</v>
      </c>
      <c r="G24" s="421"/>
      <c r="H24" s="47">
        <v>54.1</v>
      </c>
      <c r="I24" s="48" t="s">
        <v>23</v>
      </c>
      <c r="J24" s="49">
        <v>746.2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0</v>
      </c>
      <c r="D29" s="98">
        <v>1.0000000000000001E-5</v>
      </c>
      <c r="E29" s="98">
        <v>0</v>
      </c>
      <c r="F29" s="98">
        <v>0</v>
      </c>
      <c r="G29" s="98">
        <v>0</v>
      </c>
      <c r="H29" s="98">
        <v>1.0000000000000001E-5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23"/>
      <c r="J30" s="23"/>
    </row>
    <row r="31" spans="1:10" ht="31.5" customHeight="1" thickBot="1" x14ac:dyDescent="0.3">
      <c r="A31" s="424"/>
      <c r="B31" s="53" t="s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20.7</v>
      </c>
      <c r="F33" s="420" t="s">
        <v>65</v>
      </c>
      <c r="G33" s="421"/>
      <c r="H33" s="47">
        <v>52</v>
      </c>
      <c r="I33" s="48" t="s">
        <v>23</v>
      </c>
      <c r="J33" s="49">
        <v>748.1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0</v>
      </c>
      <c r="D41" s="104">
        <f t="shared" ref="D41:H41" si="1">+AVERAGE(D29:D30)</f>
        <v>5.0000000000000004E-6</v>
      </c>
      <c r="E41" s="104">
        <f t="shared" si="1"/>
        <v>0</v>
      </c>
      <c r="F41" s="104">
        <f t="shared" si="1"/>
        <v>0</v>
      </c>
      <c r="G41" s="104">
        <f t="shared" si="1"/>
        <v>0</v>
      </c>
      <c r="H41" s="105">
        <f t="shared" si="1"/>
        <v>5.0000000000000004E-6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0</v>
      </c>
      <c r="D42" s="107">
        <f t="shared" ref="D42:H42" si="2">+D41-D40</f>
        <v>5.0000000000000004E-6</v>
      </c>
      <c r="E42" s="107">
        <f t="shared" si="2"/>
        <v>0</v>
      </c>
      <c r="F42" s="107">
        <f t="shared" si="2"/>
        <v>0</v>
      </c>
      <c r="G42" s="107">
        <f t="shared" si="2"/>
        <v>0</v>
      </c>
      <c r="H42" s="108">
        <f t="shared" si="2"/>
        <v>5.0000000000000004E-6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1.6666666666666669E-6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2.5819888974716113E-6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20.549999999999997</v>
      </c>
      <c r="E48" s="23"/>
      <c r="F48" s="413" t="s">
        <v>80</v>
      </c>
      <c r="G48" s="414"/>
      <c r="H48" s="110">
        <f>+(0.34848*D50-0.009024*D49*EXP(0.0612*D48))/(273.15+D48)</f>
        <v>0.88077315474192808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53.05</v>
      </c>
      <c r="E49" s="23"/>
      <c r="F49" s="452" t="s">
        <v>82</v>
      </c>
      <c r="G49" s="453"/>
      <c r="H49" s="111">
        <f>+H48*((0.001)^2+(0.0001*I20/2)^2+(-0.0034*D20/2)^2+(-0.1*G20/2)^2)^0.5</f>
        <v>7.4871497927315345E-2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747.15000000000009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1.6666666666666669E-6</v>
      </c>
      <c r="C54" s="127" t="s">
        <v>1</v>
      </c>
      <c r="D54" s="121">
        <f>+C11+C12/1000</f>
        <v>5.0000020000000003</v>
      </c>
      <c r="E54" s="127" t="s">
        <v>1</v>
      </c>
      <c r="F54" s="121">
        <f>+(H48-H50)*(1/H11-1/C14)</f>
        <v>-2.5096450098904738E-7</v>
      </c>
      <c r="G54" s="128"/>
      <c r="H54" s="65">
        <f>+(B54+D54*F54)*1000</f>
        <v>4.11843659792428E-4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1.0540925533894599E-3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8.0000000000000002E-3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9.2376043070340128E-3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1.2220201853215575E-2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7.4871497927315345E-2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1.7551502472542278E-3</v>
      </c>
      <c r="D66" s="94" t="s">
        <v>3</v>
      </c>
      <c r="E66" s="75"/>
      <c r="F66" s="442" t="s">
        <v>101</v>
      </c>
      <c r="G66" s="443"/>
      <c r="H66" s="129">
        <f>+SQRT(SUMSQ(C59,C62,C66,C67))</f>
        <v>1.304575269969302E-2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2.6091505399386039E-2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5</v>
      </c>
      <c r="B73" s="119">
        <f>C12</f>
        <v>2E-3</v>
      </c>
      <c r="C73" s="120">
        <f>H54</f>
        <v>4.11843659792428E-4</v>
      </c>
      <c r="D73" s="121">
        <f>A73+B73/1000+C73/1000</f>
        <v>5.0000024118436599</v>
      </c>
      <c r="E73" s="107">
        <f>A73*1000-D73*1000</f>
        <v>-2.4118436595017556E-3</v>
      </c>
      <c r="F73" s="107" t="s">
        <v>3</v>
      </c>
      <c r="G73" s="92">
        <f>D73+E73/1000</f>
        <v>5</v>
      </c>
      <c r="H73" s="436"/>
      <c r="I73" s="154">
        <f>H67</f>
        <v>2.6091505399386039E-2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83"/>
  <sheetViews>
    <sheetView showGridLines="0" view="pageBreakPreview" topLeftCell="A9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134</v>
      </c>
      <c r="E9" s="23"/>
      <c r="F9" s="24" t="s">
        <v>48</v>
      </c>
      <c r="G9" s="159">
        <v>11119515</v>
      </c>
      <c r="H9" s="26" t="s">
        <v>49</v>
      </c>
      <c r="I9" s="28">
        <v>10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10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10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4.0000000000000001E-3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0.02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37">
        <v>1.0000000000000001E-5</v>
      </c>
      <c r="I16" s="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20.399999999999999</v>
      </c>
      <c r="F24" s="420" t="s">
        <v>65</v>
      </c>
      <c r="G24" s="421"/>
      <c r="H24" s="47">
        <v>54.7</v>
      </c>
      <c r="I24" s="48" t="s">
        <v>23</v>
      </c>
      <c r="J24" s="49">
        <v>747.9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1.0000000000000001E-5</v>
      </c>
      <c r="D29" s="98">
        <v>2.0000000000000002E-5</v>
      </c>
      <c r="E29" s="98">
        <v>2.0000000000000002E-5</v>
      </c>
      <c r="F29" s="98">
        <v>3.0000000000000001E-5</v>
      </c>
      <c r="G29" s="98">
        <v>2.0000000000000002E-5</v>
      </c>
      <c r="H29" s="98">
        <v>3.0000000000000001E-5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1.0000000000000001E-5</v>
      </c>
      <c r="D30" s="98">
        <v>1.0000000000000001E-5</v>
      </c>
      <c r="E30" s="98">
        <v>2.0000000000000002E-5</v>
      </c>
      <c r="F30" s="98">
        <v>2.0000000000000002E-5</v>
      </c>
      <c r="G30" s="98">
        <v>2.0000000000000002E-5</v>
      </c>
      <c r="H30" s="98">
        <v>2.0000000000000002E-5</v>
      </c>
      <c r="I30" s="23"/>
      <c r="J30" s="23"/>
    </row>
    <row r="31" spans="1:10" ht="31.5" customHeight="1" thickBot="1" x14ac:dyDescent="0.3">
      <c r="A31" s="424"/>
      <c r="B31" s="53" t="s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20.5</v>
      </c>
      <c r="F33" s="420" t="s">
        <v>65</v>
      </c>
      <c r="G33" s="421"/>
      <c r="H33" s="47">
        <v>54.2</v>
      </c>
      <c r="I33" s="48" t="s">
        <v>23</v>
      </c>
      <c r="J33" s="49">
        <v>748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1.0000000000000001E-5</v>
      </c>
      <c r="D41" s="104">
        <f t="shared" ref="D41:H41" si="1">+AVERAGE(D29:D30)</f>
        <v>1.5000000000000002E-5</v>
      </c>
      <c r="E41" s="104">
        <f t="shared" si="1"/>
        <v>2.0000000000000002E-5</v>
      </c>
      <c r="F41" s="104">
        <f t="shared" si="1"/>
        <v>2.5000000000000001E-5</v>
      </c>
      <c r="G41" s="104">
        <f t="shared" si="1"/>
        <v>2.0000000000000002E-5</v>
      </c>
      <c r="H41" s="105">
        <f t="shared" si="1"/>
        <v>2.5000000000000001E-5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1.0000000000000001E-5</v>
      </c>
      <c r="D42" s="107">
        <f t="shared" ref="D42:H42" si="2">+D41-D40</f>
        <v>1.5000000000000002E-5</v>
      </c>
      <c r="E42" s="107">
        <f t="shared" si="2"/>
        <v>2.0000000000000002E-5</v>
      </c>
      <c r="F42" s="107">
        <f t="shared" si="2"/>
        <v>2.5000000000000001E-5</v>
      </c>
      <c r="G42" s="107">
        <f t="shared" si="2"/>
        <v>2.0000000000000002E-5</v>
      </c>
      <c r="H42" s="108">
        <f t="shared" si="2"/>
        <v>2.5000000000000001E-5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1.9166666666666667E-5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5.8452259722500604E-6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20.45</v>
      </c>
      <c r="E48" s="23"/>
      <c r="F48" s="413" t="s">
        <v>80</v>
      </c>
      <c r="G48" s="414"/>
      <c r="H48" s="110">
        <f>+(0.34848*D50-0.009024*D49*EXP(0.0612*D48))/(273.15+D48)</f>
        <v>0.8819072517474581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54.45</v>
      </c>
      <c r="E49" s="23"/>
      <c r="F49" s="452" t="s">
        <v>82</v>
      </c>
      <c r="G49" s="453"/>
      <c r="H49" s="111">
        <f>+H48*((0.001)^2+(0.0001*I20/2)^2+(-0.0034*D20/2)^2+(-0.1*G20/2)^2)^0.5</f>
        <v>7.4967903614911249E-2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747.95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1.9166666666666667E-5</v>
      </c>
      <c r="C54" s="127" t="s">
        <v>1</v>
      </c>
      <c r="D54" s="121">
        <f>+C11+C12/1000</f>
        <v>10.000004000000001</v>
      </c>
      <c r="E54" s="127" t="s">
        <v>1</v>
      </c>
      <c r="F54" s="121">
        <f>+(H48-H50)*(1/H11-1/C14)</f>
        <v>-2.5007291529287599E-7</v>
      </c>
      <c r="G54" s="128"/>
      <c r="H54" s="65">
        <f>+(B54+D54*F54)*1000</f>
        <v>1.6665936513446247E-2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2.3863035105460592E-3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0.01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1.1547005383792516E-2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1.5275252316519466E-2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7.4967903614911249E-2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3.4977597611824279E-3</v>
      </c>
      <c r="D66" s="94" t="s">
        <v>3</v>
      </c>
      <c r="E66" s="75"/>
      <c r="F66" s="442" t="s">
        <v>101</v>
      </c>
      <c r="G66" s="443"/>
      <c r="H66" s="129">
        <f>+SQRT(SUMSQ(C59,C62,C66,C67))</f>
        <v>1.6368529799325026E-2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3.2737059598650052E-2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10</v>
      </c>
      <c r="B73" s="119">
        <f>C12</f>
        <v>4.0000000000000001E-3</v>
      </c>
      <c r="C73" s="120">
        <f>H54</f>
        <v>1.6665936513446247E-2</v>
      </c>
      <c r="D73" s="121">
        <f>A73+B73/1000+C73/1000</f>
        <v>10.000020665936514</v>
      </c>
      <c r="E73" s="107">
        <f>A73*1000-D73*1000</f>
        <v>-2.0665936513978522E-2</v>
      </c>
      <c r="F73" s="107" t="s">
        <v>3</v>
      </c>
      <c r="G73" s="92">
        <f>D73+E73/1000</f>
        <v>10</v>
      </c>
      <c r="H73" s="436"/>
      <c r="I73" s="99">
        <f>H67</f>
        <v>3.2737059598650052E-2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83"/>
  <sheetViews>
    <sheetView showGridLines="0" view="pageBreakPreview" topLeftCell="A9" zoomScale="60" zoomScaleNormal="100" workbookViewId="0">
      <selection activeCell="I29" sqref="I29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135</v>
      </c>
      <c r="E9" s="23"/>
      <c r="F9" s="24" t="s">
        <v>48</v>
      </c>
      <c r="G9" s="159">
        <v>11119515</v>
      </c>
      <c r="H9" s="26" t="s">
        <v>49</v>
      </c>
      <c r="I9" s="28">
        <v>20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2.7E-2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2.5000000000000001E-2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20.6</v>
      </c>
      <c r="F24" s="420" t="s">
        <v>65</v>
      </c>
      <c r="G24" s="421"/>
      <c r="H24" s="47">
        <v>54.4</v>
      </c>
      <c r="I24" s="48" t="s">
        <v>23</v>
      </c>
      <c r="J24" s="49">
        <v>748.1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2.0000000000000002E-5</v>
      </c>
      <c r="D29" s="98">
        <v>2.0000000000000002E-5</v>
      </c>
      <c r="E29" s="98">
        <v>2.0000000000000002E-5</v>
      </c>
      <c r="F29" s="98">
        <v>3.0000000000000001E-5</v>
      </c>
      <c r="G29" s="98">
        <v>2.0000000000000002E-5</v>
      </c>
      <c r="H29" s="98">
        <v>3.0000000000000001E-5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2.0000000000000002E-5</v>
      </c>
      <c r="D30" s="98">
        <v>2.0000000000000002E-5</v>
      </c>
      <c r="E30" s="98">
        <v>3.0000000000000001E-5</v>
      </c>
      <c r="F30" s="98">
        <v>2.0000000000000002E-5</v>
      </c>
      <c r="G30" s="98">
        <v>2.0000000000000002E-5</v>
      </c>
      <c r="H30" s="98">
        <v>2.0000000000000002E-5</v>
      </c>
      <c r="I30" s="23"/>
      <c r="J30" s="23"/>
    </row>
    <row r="31" spans="1:10" ht="31.5" customHeight="1" thickBot="1" x14ac:dyDescent="0.3">
      <c r="A31" s="424"/>
      <c r="B31" s="53" t="s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20.5</v>
      </c>
      <c r="F33" s="420" t="s">
        <v>65</v>
      </c>
      <c r="G33" s="421"/>
      <c r="H33" s="47">
        <v>51.8</v>
      </c>
      <c r="I33" s="48" t="s">
        <v>23</v>
      </c>
      <c r="J33" s="49">
        <v>748.3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2.0000000000000002E-5</v>
      </c>
      <c r="D41" s="104">
        <f t="shared" ref="D41:H41" si="1">+AVERAGE(D29:D30)</f>
        <v>2.0000000000000002E-5</v>
      </c>
      <c r="E41" s="104">
        <f t="shared" si="1"/>
        <v>2.5000000000000001E-5</v>
      </c>
      <c r="F41" s="104">
        <f t="shared" si="1"/>
        <v>2.5000000000000001E-5</v>
      </c>
      <c r="G41" s="104">
        <f t="shared" si="1"/>
        <v>2.0000000000000002E-5</v>
      </c>
      <c r="H41" s="105">
        <f t="shared" si="1"/>
        <v>2.5000000000000001E-5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2.0000000000000002E-5</v>
      </c>
      <c r="D42" s="107">
        <f t="shared" ref="D42:H42" si="2">+D41-D40</f>
        <v>2.0000000000000002E-5</v>
      </c>
      <c r="E42" s="107">
        <f t="shared" si="2"/>
        <v>2.5000000000000001E-5</v>
      </c>
      <c r="F42" s="107">
        <f t="shared" si="2"/>
        <v>2.5000000000000001E-5</v>
      </c>
      <c r="G42" s="107">
        <f t="shared" si="2"/>
        <v>2.0000000000000002E-5</v>
      </c>
      <c r="H42" s="108">
        <f t="shared" si="2"/>
        <v>2.5000000000000001E-5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2.2500000000000001E-5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2.7386127875258303E-6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20.55</v>
      </c>
      <c r="E48" s="23"/>
      <c r="F48" s="413" t="s">
        <v>80</v>
      </c>
      <c r="G48" s="414"/>
      <c r="H48" s="110">
        <f>+(0.34848*D50-0.009024*D49*EXP(0.0612*D48))/(273.15+D48)</f>
        <v>0.88201359412783731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53.099999999999994</v>
      </c>
      <c r="E49" s="23"/>
      <c r="F49" s="452" t="s">
        <v>82</v>
      </c>
      <c r="G49" s="453"/>
      <c r="H49" s="111">
        <f>+H48*((0.001)^2+(0.0001*I20/2)^2+(-0.0034*D20/2)^2+(-0.1*G20/2)^2)^0.5</f>
        <v>7.4976943415079184E-2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748.2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2.2500000000000001E-5</v>
      </c>
      <c r="C54" s="127" t="s">
        <v>1</v>
      </c>
      <c r="D54" s="121">
        <f>+C11+C12/1000</f>
        <v>20.000026999999999</v>
      </c>
      <c r="E54" s="127" t="s">
        <v>1</v>
      </c>
      <c r="F54" s="121">
        <f>+(H48-H50)*(1/H11-1/C14)</f>
        <v>-2.4998931279257791E-7</v>
      </c>
      <c r="G54" s="128"/>
      <c r="H54" s="65">
        <f>+(B54+D54*F54)*1000</f>
        <v>1.7500206994436999E-2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1.1180339887498947E-3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1.2500000000000001E-2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1.4433756729740645E-2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1.9094065395649337E-2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7.4976943415079184E-2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6.9931745574618722E-3</v>
      </c>
      <c r="D66" s="94" t="s">
        <v>3</v>
      </c>
      <c r="E66" s="75"/>
      <c r="F66" s="442" t="s">
        <v>101</v>
      </c>
      <c r="G66" s="443"/>
      <c r="H66" s="129">
        <f>+SQRT(SUMSQ(C59,C62,C66,C67))</f>
        <v>2.0770279015726586E-2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4.1540558031453172E-2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20</v>
      </c>
      <c r="B73" s="119">
        <f>C12</f>
        <v>2.7E-2</v>
      </c>
      <c r="C73" s="120">
        <f>H54</f>
        <v>1.7500206994436999E-2</v>
      </c>
      <c r="D73" s="121">
        <f>A73+B73/1000+C73/1000</f>
        <v>20.000044500206993</v>
      </c>
      <c r="E73" s="107">
        <f>A73*1000-D73*1000</f>
        <v>-4.4500206993689062E-2</v>
      </c>
      <c r="F73" s="107" t="s">
        <v>3</v>
      </c>
      <c r="G73" s="92">
        <f>D73+E73/1000</f>
        <v>20</v>
      </c>
      <c r="H73" s="436"/>
      <c r="I73" s="99">
        <f>H67</f>
        <v>4.1540558031453172E-2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3"/>
  <sheetViews>
    <sheetView showGridLines="0" view="pageBreakPreview" topLeftCell="A7" zoomScale="60" zoomScaleNormal="100" workbookViewId="0">
      <selection activeCell="I9" sqref="I9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136</v>
      </c>
      <c r="E9" s="23"/>
      <c r="F9" s="24" t="s">
        <v>48</v>
      </c>
      <c r="G9" s="159">
        <v>11119515</v>
      </c>
      <c r="H9" s="26" t="s">
        <v>49</v>
      </c>
      <c r="I9" s="28" t="s">
        <v>206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20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20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7.0000000000000001E-3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2.5000000000000001E-2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20.5</v>
      </c>
      <c r="F24" s="420" t="s">
        <v>65</v>
      </c>
      <c r="G24" s="421"/>
      <c r="H24" s="47">
        <v>50.5</v>
      </c>
      <c r="I24" s="48" t="s">
        <v>23</v>
      </c>
      <c r="J24" s="49">
        <v>748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2.0000000000000002E-5</v>
      </c>
      <c r="D29" s="98">
        <v>1.0000000000000001E-5</v>
      </c>
      <c r="E29" s="98">
        <v>2.0000000000000002E-5</v>
      </c>
      <c r="F29" s="98">
        <v>2.0000000000000002E-5</v>
      </c>
      <c r="G29" s="98">
        <v>2.0000000000000002E-5</v>
      </c>
      <c r="H29" s="98">
        <v>2.0000000000000002E-5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2.0000000000000002E-5</v>
      </c>
      <c r="D30" s="98">
        <v>2.0000000000000002E-5</v>
      </c>
      <c r="E30" s="98">
        <v>2.0000000000000002E-5</v>
      </c>
      <c r="F30" s="98">
        <v>1.0000000000000001E-5</v>
      </c>
      <c r="G30" s="98">
        <v>1.0000000000000001E-5</v>
      </c>
      <c r="H30" s="98">
        <v>2.0000000000000002E-5</v>
      </c>
      <c r="I30" s="23"/>
      <c r="J30" s="23"/>
    </row>
    <row r="31" spans="1:10" ht="31.5" customHeight="1" thickBot="1" x14ac:dyDescent="0.3">
      <c r="A31" s="424"/>
      <c r="B31" s="53" t="s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20.5</v>
      </c>
      <c r="F33" s="420" t="s">
        <v>65</v>
      </c>
      <c r="G33" s="421"/>
      <c r="H33" s="47">
        <v>53.5</v>
      </c>
      <c r="I33" s="48" t="s">
        <v>23</v>
      </c>
      <c r="J33" s="49">
        <v>748.1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2.0000000000000002E-5</v>
      </c>
      <c r="D41" s="104">
        <f t="shared" ref="D41:H41" si="1">+AVERAGE(D29:D30)</f>
        <v>1.5000000000000002E-5</v>
      </c>
      <c r="E41" s="104">
        <f t="shared" si="1"/>
        <v>2.0000000000000002E-5</v>
      </c>
      <c r="F41" s="104">
        <f t="shared" si="1"/>
        <v>1.5000000000000002E-5</v>
      </c>
      <c r="G41" s="104">
        <f t="shared" si="1"/>
        <v>1.5000000000000002E-5</v>
      </c>
      <c r="H41" s="105">
        <f t="shared" si="1"/>
        <v>2.0000000000000002E-5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2.0000000000000002E-5</v>
      </c>
      <c r="D42" s="107">
        <f t="shared" ref="D42:H42" si="2">+D41-D40</f>
        <v>1.5000000000000002E-5</v>
      </c>
      <c r="E42" s="107">
        <f t="shared" si="2"/>
        <v>2.0000000000000002E-5</v>
      </c>
      <c r="F42" s="107">
        <f t="shared" si="2"/>
        <v>1.5000000000000002E-5</v>
      </c>
      <c r="G42" s="107">
        <f t="shared" si="2"/>
        <v>1.5000000000000002E-5</v>
      </c>
      <c r="H42" s="108">
        <f t="shared" si="2"/>
        <v>2.0000000000000002E-5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1.7500000000000002E-5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2.7386127875258303E-6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20.5</v>
      </c>
      <c r="E48" s="23"/>
      <c r="F48" s="413" t="s">
        <v>80</v>
      </c>
      <c r="G48" s="414"/>
      <c r="H48" s="110">
        <f>+(0.34848*D50-0.009024*D49*EXP(0.0612*D48))/(273.15+D48)</f>
        <v>0.88212183260789012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52</v>
      </c>
      <c r="E49" s="23"/>
      <c r="F49" s="452" t="s">
        <v>82</v>
      </c>
      <c r="G49" s="453"/>
      <c r="H49" s="111">
        <f>+H48*((0.001)^2+(0.0001*I20/2)^2+(-0.0034*D20/2)^2+(-0.1*G20/2)^2)^0.5</f>
        <v>7.4986144396161886E-2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748.05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1.7500000000000002E-5</v>
      </c>
      <c r="C54" s="127" t="s">
        <v>1</v>
      </c>
      <c r="D54" s="121">
        <f>+C11+C12/1000</f>
        <v>20.000007</v>
      </c>
      <c r="E54" s="127" t="s">
        <v>1</v>
      </c>
      <c r="F54" s="121">
        <f>+(H48-H50)*(1/H11-1/C14)</f>
        <v>-2.4990421964788225E-7</v>
      </c>
      <c r="G54" s="128"/>
      <c r="H54" s="65">
        <f>+(B54+D54*F54)*1000</f>
        <v>1.2501913857712819E-2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1.1180339887498947E-3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1.2500000000000001E-2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1.4433756729740645E-2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1.9094065395649337E-2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7.4986144396161886E-2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6.9907740687199533E-3</v>
      </c>
      <c r="D66" s="94" t="s">
        <v>3</v>
      </c>
      <c r="E66" s="75"/>
      <c r="F66" s="442" t="s">
        <v>101</v>
      </c>
      <c r="G66" s="443"/>
      <c r="H66" s="129">
        <f>+SQRT(SUMSQ(C59,C62,C66,C67))</f>
        <v>2.0769470914779882E-2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4.1538941829559764E-2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20</v>
      </c>
      <c r="B73" s="119">
        <f>C12</f>
        <v>7.0000000000000001E-3</v>
      </c>
      <c r="C73" s="120">
        <f>H54</f>
        <v>1.2501913857712819E-2</v>
      </c>
      <c r="D73" s="121">
        <f>A73+B73/1000+C73/1000</f>
        <v>20.000019501913858</v>
      </c>
      <c r="E73" s="107">
        <f>A73*1000-D73*1000</f>
        <v>-1.9501913859130582E-2</v>
      </c>
      <c r="F73" s="107" t="s">
        <v>3</v>
      </c>
      <c r="G73" s="92">
        <f>D73+E73/1000</f>
        <v>20</v>
      </c>
      <c r="H73" s="436"/>
      <c r="I73" s="99">
        <f>H67</f>
        <v>4.1538941829559764E-2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83"/>
  <sheetViews>
    <sheetView showGridLines="0" view="pageBreakPreview" topLeftCell="A7" zoomScale="60" zoomScaleNormal="100" workbookViewId="0">
      <selection activeCell="C11" sqref="C11:C15"/>
    </sheetView>
  </sheetViews>
  <sheetFormatPr baseColWidth="10" defaultRowHeight="31.5" customHeight="1" x14ac:dyDescent="0.25"/>
  <cols>
    <col min="1" max="1" width="11.42578125" style="87"/>
    <col min="2" max="2" width="12" style="87" customWidth="1"/>
    <col min="3" max="3" width="11.42578125" style="87" customWidth="1"/>
    <col min="4" max="4" width="11.85546875" style="87" bestFit="1" customWidth="1"/>
    <col min="5" max="5" width="11.42578125" style="87"/>
    <col min="6" max="6" width="13.85546875" style="87" bestFit="1" customWidth="1"/>
    <col min="7" max="7" width="11.42578125" style="87"/>
    <col min="8" max="9" width="13.7109375" style="87" bestFit="1" customWidth="1"/>
    <col min="10" max="10" width="11.42578125" style="87"/>
    <col min="11" max="16384" width="11.42578125" style="1"/>
  </cols>
  <sheetData>
    <row r="1" spans="1:12" ht="47.25" customHeight="1" thickBot="1" x14ac:dyDescent="0.3">
      <c r="A1" s="394"/>
      <c r="B1" s="395"/>
      <c r="C1" s="396" t="s">
        <v>244</v>
      </c>
      <c r="D1" s="397"/>
      <c r="E1" s="397"/>
      <c r="F1" s="397"/>
      <c r="G1" s="397"/>
      <c r="H1" s="397"/>
      <c r="I1" s="397"/>
      <c r="J1" s="398"/>
    </row>
    <row r="2" spans="1:12" s="3" customFormat="1" ht="9.75" customHeight="1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L2" s="4"/>
    </row>
    <row r="3" spans="1:12" s="3" customFormat="1" ht="34.5" customHeight="1" thickBot="1" x14ac:dyDescent="0.3">
      <c r="A3" s="5" t="s">
        <v>42</v>
      </c>
      <c r="B3" s="6" t="s">
        <v>110</v>
      </c>
      <c r="C3" s="7" t="s">
        <v>108</v>
      </c>
      <c r="D3" s="8">
        <v>42804</v>
      </c>
      <c r="E3" s="9"/>
      <c r="F3" s="10" t="s">
        <v>43</v>
      </c>
      <c r="G3" s="96" t="s">
        <v>111</v>
      </c>
      <c r="H3" s="11" t="s">
        <v>44</v>
      </c>
      <c r="I3" s="12" t="s">
        <v>258</v>
      </c>
      <c r="J3" s="2"/>
      <c r="L3" s="4"/>
    </row>
    <row r="4" spans="1:12" s="3" customFormat="1" ht="13.5" customHeight="1" thickBot="1" x14ac:dyDescent="0.3">
      <c r="A4" s="14"/>
      <c r="B4" s="13"/>
      <c r="C4" s="14"/>
      <c r="D4" s="15"/>
      <c r="E4" s="16"/>
      <c r="F4" s="14"/>
      <c r="G4" s="17"/>
      <c r="H4" s="18"/>
      <c r="I4" s="19"/>
      <c r="J4" s="2"/>
      <c r="L4" s="4"/>
    </row>
    <row r="5" spans="1:12" ht="33" customHeight="1" thickBot="1" x14ac:dyDescent="0.3">
      <c r="A5" s="7" t="s">
        <v>109</v>
      </c>
      <c r="B5" s="96" t="s">
        <v>111</v>
      </c>
      <c r="C5" s="7" t="s">
        <v>18</v>
      </c>
      <c r="D5" s="20">
        <v>42807</v>
      </c>
      <c r="E5" s="21"/>
      <c r="F5" s="7" t="s">
        <v>260</v>
      </c>
      <c r="G5" s="22" t="s">
        <v>261</v>
      </c>
      <c r="H5" s="7" t="s">
        <v>107</v>
      </c>
      <c r="I5" s="22" t="s">
        <v>259</v>
      </c>
      <c r="J5" s="2"/>
    </row>
    <row r="6" spans="1:12" s="91" customFormat="1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1.5" customHeight="1" x14ac:dyDescent="0.25">
      <c r="A7" s="399" t="s">
        <v>45</v>
      </c>
      <c r="B7" s="400"/>
      <c r="C7" s="400"/>
      <c r="D7" s="401"/>
      <c r="E7" s="23"/>
      <c r="F7" s="399" t="s">
        <v>46</v>
      </c>
      <c r="G7" s="400"/>
      <c r="H7" s="400"/>
      <c r="I7" s="401"/>
      <c r="J7" s="23"/>
    </row>
    <row r="8" spans="1:12" ht="31.5" customHeight="1" x14ac:dyDescent="0.25">
      <c r="A8" s="24" t="s">
        <v>47</v>
      </c>
      <c r="B8" s="25" t="s">
        <v>257</v>
      </c>
      <c r="C8" s="26" t="s">
        <v>24</v>
      </c>
      <c r="D8" s="27" t="s">
        <v>125</v>
      </c>
      <c r="E8" s="23"/>
      <c r="F8" s="24" t="s">
        <v>47</v>
      </c>
      <c r="G8" s="25" t="s">
        <v>124</v>
      </c>
      <c r="H8" s="26" t="s">
        <v>24</v>
      </c>
      <c r="I8" s="28" t="s">
        <v>125</v>
      </c>
      <c r="J8" s="23"/>
    </row>
    <row r="9" spans="1:12" ht="31.5" customHeight="1" x14ac:dyDescent="0.25">
      <c r="A9" s="24" t="s">
        <v>48</v>
      </c>
      <c r="B9" s="25">
        <v>27129360</v>
      </c>
      <c r="C9" s="26" t="s">
        <v>49</v>
      </c>
      <c r="D9" s="29" t="s">
        <v>137</v>
      </c>
      <c r="E9" s="23"/>
      <c r="F9" s="24" t="s">
        <v>48</v>
      </c>
      <c r="G9" s="159">
        <v>11119515</v>
      </c>
      <c r="H9" s="26" t="s">
        <v>49</v>
      </c>
      <c r="I9" s="28">
        <v>50</v>
      </c>
      <c r="J9" s="23"/>
    </row>
    <row r="10" spans="1:12" ht="31.5" customHeight="1" x14ac:dyDescent="0.25">
      <c r="A10" s="30" t="s">
        <v>50</v>
      </c>
      <c r="B10" s="25">
        <v>1230</v>
      </c>
      <c r="C10" s="31" t="s">
        <v>51</v>
      </c>
      <c r="D10" s="32">
        <v>42631</v>
      </c>
      <c r="E10" s="23"/>
      <c r="F10" s="392" t="s">
        <v>52</v>
      </c>
      <c r="G10" s="393"/>
      <c r="H10" s="234">
        <v>50</v>
      </c>
      <c r="I10" s="29" t="s">
        <v>1</v>
      </c>
      <c r="J10" s="23"/>
    </row>
    <row r="11" spans="1:12" s="36" customFormat="1" ht="31.5" customHeight="1" x14ac:dyDescent="0.25">
      <c r="A11" s="392" t="s">
        <v>53</v>
      </c>
      <c r="B11" s="393"/>
      <c r="C11" s="248">
        <v>50</v>
      </c>
      <c r="D11" s="29" t="s">
        <v>1</v>
      </c>
      <c r="E11" s="34"/>
      <c r="F11" s="392" t="s">
        <v>54</v>
      </c>
      <c r="G11" s="393"/>
      <c r="H11" s="234">
        <v>7950</v>
      </c>
      <c r="I11" s="29" t="s">
        <v>112</v>
      </c>
      <c r="J11" s="34"/>
    </row>
    <row r="12" spans="1:12" s="36" customFormat="1" ht="31.5" customHeight="1" thickBot="1" x14ac:dyDescent="0.3">
      <c r="A12" s="392" t="s">
        <v>55</v>
      </c>
      <c r="B12" s="393"/>
      <c r="C12" s="248">
        <v>0.03</v>
      </c>
      <c r="D12" s="29" t="s">
        <v>3</v>
      </c>
      <c r="E12" s="34"/>
      <c r="F12" s="404" t="s">
        <v>117</v>
      </c>
      <c r="G12" s="405"/>
      <c r="H12" s="237">
        <v>140</v>
      </c>
      <c r="I12" s="238" t="s">
        <v>112</v>
      </c>
      <c r="J12" s="34"/>
    </row>
    <row r="13" spans="1:12" s="36" customFormat="1" ht="31.5" customHeight="1" thickBot="1" x14ac:dyDescent="0.3">
      <c r="A13" s="392" t="s">
        <v>56</v>
      </c>
      <c r="B13" s="393"/>
      <c r="C13" s="248">
        <v>0.03</v>
      </c>
      <c r="D13" s="29" t="s">
        <v>3</v>
      </c>
      <c r="E13" s="34"/>
      <c r="F13" s="34"/>
      <c r="G13" s="34"/>
      <c r="H13" s="34"/>
      <c r="I13" s="34"/>
      <c r="J13" s="34"/>
    </row>
    <row r="14" spans="1:12" s="36" customFormat="1" ht="31.5" customHeight="1" x14ac:dyDescent="0.25">
      <c r="A14" s="392" t="s">
        <v>57</v>
      </c>
      <c r="B14" s="393"/>
      <c r="C14" s="248">
        <v>8000</v>
      </c>
      <c r="D14" s="29" t="s">
        <v>112</v>
      </c>
      <c r="E14" s="34"/>
      <c r="F14" s="399" t="s">
        <v>58</v>
      </c>
      <c r="G14" s="400"/>
      <c r="H14" s="400"/>
      <c r="I14" s="401"/>
      <c r="J14" s="34"/>
    </row>
    <row r="15" spans="1:12" s="36" customFormat="1" ht="31.5" customHeight="1" x14ac:dyDescent="0.25">
      <c r="A15" s="392" t="s">
        <v>59</v>
      </c>
      <c r="B15" s="393"/>
      <c r="C15" s="248">
        <v>30</v>
      </c>
      <c r="D15" s="29" t="s">
        <v>112</v>
      </c>
      <c r="E15" s="34"/>
      <c r="F15" s="24" t="s">
        <v>24</v>
      </c>
      <c r="G15" s="28" t="s">
        <v>125</v>
      </c>
      <c r="H15" s="26" t="s">
        <v>48</v>
      </c>
      <c r="I15" s="29" t="s">
        <v>126</v>
      </c>
      <c r="J15" s="34"/>
    </row>
    <row r="16" spans="1:12" ht="31.5" customHeight="1" thickBot="1" x14ac:dyDescent="0.3">
      <c r="A16" s="404" t="s">
        <v>60</v>
      </c>
      <c r="B16" s="454"/>
      <c r="C16" s="237">
        <f>(0.34848*((752.597+755.909)/2)-0.009024*((44.5+51.2)/2)*EXP(0.0612*((19.7+20.8)/2)))/(273.15+((19.7+20.8)/2))</f>
        <v>0.89076687525312348</v>
      </c>
      <c r="D16" s="238" t="s">
        <v>112</v>
      </c>
      <c r="E16" s="23"/>
      <c r="F16" s="407" t="s">
        <v>61</v>
      </c>
      <c r="G16" s="444"/>
      <c r="H16" s="237">
        <v>1.0000000000000001E-5</v>
      </c>
      <c r="I16" s="238" t="s">
        <v>1</v>
      </c>
      <c r="J16" s="23"/>
    </row>
    <row r="17" spans="1:10" s="91" customFormat="1" ht="6.75" customHeight="1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23"/>
    </row>
    <row r="18" spans="1:10" ht="31.5" customHeight="1" x14ac:dyDescent="0.25">
      <c r="A18" s="441" t="s">
        <v>62</v>
      </c>
      <c r="B18" s="439"/>
      <c r="C18" s="439"/>
      <c r="D18" s="439"/>
      <c r="E18" s="439"/>
      <c r="F18" s="439"/>
      <c r="G18" s="439"/>
      <c r="H18" s="439"/>
      <c r="I18" s="439"/>
      <c r="J18" s="439"/>
    </row>
    <row r="19" spans="1:10" ht="31.5" customHeight="1" x14ac:dyDescent="0.25">
      <c r="A19" s="131" t="s">
        <v>24</v>
      </c>
      <c r="B19" s="134" t="s">
        <v>113</v>
      </c>
      <c r="C19" s="132" t="s">
        <v>17</v>
      </c>
      <c r="D19" s="97" t="s">
        <v>114</v>
      </c>
      <c r="E19" s="132" t="s">
        <v>50</v>
      </c>
      <c r="F19" s="409" t="s">
        <v>115</v>
      </c>
      <c r="G19" s="409"/>
      <c r="H19" s="132" t="s">
        <v>51</v>
      </c>
      <c r="I19" s="32">
        <v>42580</v>
      </c>
      <c r="J19" s="39"/>
    </row>
    <row r="20" spans="1:10" ht="31.5" customHeight="1" thickBot="1" x14ac:dyDescent="0.3">
      <c r="A20" s="410" t="s">
        <v>63</v>
      </c>
      <c r="B20" s="411"/>
      <c r="C20" s="40" t="s">
        <v>64</v>
      </c>
      <c r="D20" s="41">
        <v>0.2</v>
      </c>
      <c r="E20" s="412" t="s">
        <v>65</v>
      </c>
      <c r="F20" s="412"/>
      <c r="G20" s="41">
        <v>1.7</v>
      </c>
      <c r="H20" s="133" t="s">
        <v>23</v>
      </c>
      <c r="I20" s="42">
        <v>6.4000000000000001E-2</v>
      </c>
      <c r="J20" s="39"/>
    </row>
    <row r="21" spans="1:10" s="91" customFormat="1" ht="15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1.5" customHeight="1" thickBot="1" x14ac:dyDescent="0.3">
      <c r="A22" s="417" t="s">
        <v>66</v>
      </c>
      <c r="B22" s="418"/>
      <c r="C22" s="418"/>
      <c r="D22" s="418"/>
      <c r="E22" s="418"/>
      <c r="F22" s="418"/>
      <c r="G22" s="418"/>
      <c r="H22" s="418"/>
      <c r="I22" s="418"/>
      <c r="J22" s="419"/>
    </row>
    <row r="23" spans="1:10" s="23" customFormat="1" ht="2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31.5" customHeight="1" thickBot="1" x14ac:dyDescent="0.3">
      <c r="A24" s="46" t="s">
        <v>67</v>
      </c>
      <c r="B24" s="47"/>
      <c r="C24" s="420" t="s">
        <v>64</v>
      </c>
      <c r="D24" s="421"/>
      <c r="E24" s="47">
        <v>20.399999999999999</v>
      </c>
      <c r="F24" s="420" t="s">
        <v>65</v>
      </c>
      <c r="G24" s="421"/>
      <c r="H24" s="47">
        <v>51.4</v>
      </c>
      <c r="I24" s="48" t="s">
        <v>23</v>
      </c>
      <c r="J24" s="49">
        <v>748.2</v>
      </c>
    </row>
    <row r="25" spans="1:10" s="91" customFormat="1" ht="15" customHeight="1" thickBot="1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1.5" customHeight="1" x14ac:dyDescent="0.25">
      <c r="A26" s="50" t="s">
        <v>68</v>
      </c>
      <c r="B26" s="51">
        <v>6</v>
      </c>
      <c r="C26" s="400" t="s">
        <v>69</v>
      </c>
      <c r="D26" s="400"/>
      <c r="E26" s="400"/>
      <c r="F26" s="400"/>
      <c r="G26" s="400"/>
      <c r="H26" s="401"/>
      <c r="I26" s="23"/>
      <c r="J26" s="23"/>
    </row>
    <row r="27" spans="1:10" ht="31.5" customHeight="1" x14ac:dyDescent="0.25">
      <c r="A27" s="422" t="s">
        <v>70</v>
      </c>
      <c r="B27" s="423"/>
      <c r="C27" s="135">
        <v>1</v>
      </c>
      <c r="D27" s="135">
        <v>2</v>
      </c>
      <c r="E27" s="135">
        <v>3</v>
      </c>
      <c r="F27" s="135">
        <v>4</v>
      </c>
      <c r="G27" s="135">
        <v>5</v>
      </c>
      <c r="H27" s="52">
        <v>6</v>
      </c>
      <c r="I27" s="23"/>
      <c r="J27" s="23"/>
    </row>
    <row r="28" spans="1:10" ht="31.5" customHeight="1" x14ac:dyDescent="0.25">
      <c r="A28" s="422" t="s">
        <v>71</v>
      </c>
      <c r="B28" s="135" t="s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23"/>
      <c r="J28" s="23"/>
    </row>
    <row r="29" spans="1:10" ht="31.5" customHeight="1" x14ac:dyDescent="0.25">
      <c r="A29" s="422"/>
      <c r="B29" s="135" t="s">
        <v>2</v>
      </c>
      <c r="C29" s="98">
        <v>1E-4</v>
      </c>
      <c r="D29" s="98">
        <v>1.1E-4</v>
      </c>
      <c r="E29" s="98">
        <v>1.1E-4</v>
      </c>
      <c r="F29" s="98">
        <v>1.1E-4</v>
      </c>
      <c r="G29" s="98">
        <v>1E-4</v>
      </c>
      <c r="H29" s="98">
        <v>1E-4</v>
      </c>
      <c r="I29" s="23"/>
      <c r="J29" s="23"/>
    </row>
    <row r="30" spans="1:10" ht="31.5" customHeight="1" x14ac:dyDescent="0.25">
      <c r="A30" s="422"/>
      <c r="B30" s="135" t="s">
        <v>2</v>
      </c>
      <c r="C30" s="98">
        <v>1E-4</v>
      </c>
      <c r="D30" s="98">
        <v>1E-4</v>
      </c>
      <c r="E30" s="98">
        <v>1.1E-4</v>
      </c>
      <c r="F30" s="98">
        <v>1.1E-4</v>
      </c>
      <c r="G30" s="98">
        <v>1E-4</v>
      </c>
      <c r="H30" s="98">
        <v>1E-4</v>
      </c>
      <c r="I30" s="23"/>
      <c r="J30" s="23"/>
    </row>
    <row r="31" spans="1:10" ht="31.5" customHeight="1" thickBot="1" x14ac:dyDescent="0.3">
      <c r="A31" s="424"/>
      <c r="B31" s="53" t="s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23"/>
      <c r="J31" s="23"/>
    </row>
    <row r="32" spans="1:10" s="91" customFormat="1" ht="15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86"/>
    </row>
    <row r="33" spans="1:10" ht="31.5" customHeight="1" thickBot="1" x14ac:dyDescent="0.3">
      <c r="A33" s="46" t="s">
        <v>72</v>
      </c>
      <c r="B33" s="47"/>
      <c r="C33" s="420" t="s">
        <v>64</v>
      </c>
      <c r="D33" s="421"/>
      <c r="E33" s="47">
        <v>20.399999999999999</v>
      </c>
      <c r="F33" s="420" t="s">
        <v>65</v>
      </c>
      <c r="G33" s="421"/>
      <c r="H33" s="47">
        <v>51.2</v>
      </c>
      <c r="I33" s="48" t="s">
        <v>23</v>
      </c>
      <c r="J33" s="49">
        <v>748.3</v>
      </c>
    </row>
    <row r="34" spans="1:10" s="91" customFormat="1" ht="12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 thickBot="1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32.25" customHeight="1" thickBot="1" x14ac:dyDescent="0.3">
      <c r="A36" s="417" t="s">
        <v>73</v>
      </c>
      <c r="B36" s="418"/>
      <c r="C36" s="418"/>
      <c r="D36" s="418"/>
      <c r="E36" s="418"/>
      <c r="F36" s="418"/>
      <c r="G36" s="418"/>
      <c r="H36" s="418"/>
      <c r="I36" s="418"/>
      <c r="J36" s="419"/>
    </row>
    <row r="37" spans="1:10" ht="3.75" customHeight="1" thickBot="1" x14ac:dyDescent="0.3">
      <c r="A37" s="90"/>
      <c r="B37" s="23"/>
      <c r="C37" s="23"/>
      <c r="D37" s="23"/>
      <c r="E37" s="23"/>
      <c r="F37" s="23"/>
      <c r="G37" s="23"/>
      <c r="H37" s="23"/>
      <c r="I37" s="23"/>
      <c r="J37" s="90"/>
    </row>
    <row r="38" spans="1:10" ht="31.5" customHeight="1" thickBot="1" x14ac:dyDescent="0.3">
      <c r="A38" s="23"/>
      <c r="B38" s="425" t="s">
        <v>74</v>
      </c>
      <c r="C38" s="426"/>
      <c r="D38" s="426"/>
      <c r="E38" s="426"/>
      <c r="F38" s="426"/>
      <c r="G38" s="426"/>
      <c r="H38" s="427"/>
      <c r="I38" s="23"/>
      <c r="J38" s="23"/>
    </row>
    <row r="39" spans="1:10" ht="31.5" customHeight="1" thickBot="1" x14ac:dyDescent="0.3">
      <c r="A39" s="23"/>
      <c r="B39" s="54" t="s">
        <v>70</v>
      </c>
      <c r="C39" s="55">
        <v>1</v>
      </c>
      <c r="D39" s="135">
        <v>2</v>
      </c>
      <c r="E39" s="135">
        <v>3</v>
      </c>
      <c r="F39" s="135">
        <v>4</v>
      </c>
      <c r="G39" s="135">
        <v>5</v>
      </c>
      <c r="H39" s="52">
        <v>6</v>
      </c>
      <c r="I39" s="23"/>
      <c r="J39" s="23"/>
    </row>
    <row r="40" spans="1:10" ht="31.5" customHeight="1" x14ac:dyDescent="0.25">
      <c r="A40" s="35"/>
      <c r="B40" s="56"/>
      <c r="C40" s="100">
        <f>+AVERAGE(C28,C31)</f>
        <v>0</v>
      </c>
      <c r="D40" s="101">
        <f t="shared" ref="D40:H40" si="0">+AVERAGE(D28,D31)</f>
        <v>0</v>
      </c>
      <c r="E40" s="101">
        <f t="shared" si="0"/>
        <v>0</v>
      </c>
      <c r="F40" s="101">
        <f t="shared" si="0"/>
        <v>0</v>
      </c>
      <c r="G40" s="101">
        <f t="shared" si="0"/>
        <v>0</v>
      </c>
      <c r="H40" s="102">
        <f t="shared" si="0"/>
        <v>0</v>
      </c>
      <c r="I40" s="23"/>
      <c r="J40" s="23"/>
    </row>
    <row r="41" spans="1:10" ht="31.5" customHeight="1" x14ac:dyDescent="0.25">
      <c r="A41" s="35"/>
      <c r="B41" s="57"/>
      <c r="C41" s="103">
        <f>+AVERAGE(C29:C30)</f>
        <v>1E-4</v>
      </c>
      <c r="D41" s="104">
        <f t="shared" ref="D41:H41" si="1">+AVERAGE(D29:D30)</f>
        <v>1.05E-4</v>
      </c>
      <c r="E41" s="104">
        <f t="shared" si="1"/>
        <v>1.1E-4</v>
      </c>
      <c r="F41" s="104">
        <f t="shared" si="1"/>
        <v>1.1E-4</v>
      </c>
      <c r="G41" s="104">
        <f t="shared" si="1"/>
        <v>1E-4</v>
      </c>
      <c r="H41" s="105">
        <f t="shared" si="1"/>
        <v>1E-4</v>
      </c>
      <c r="I41" s="23"/>
      <c r="J41" s="23"/>
    </row>
    <row r="42" spans="1:10" ht="31.5" customHeight="1" thickBot="1" x14ac:dyDescent="0.3">
      <c r="A42" s="35"/>
      <c r="B42" s="58"/>
      <c r="C42" s="106">
        <f>+C41-C40</f>
        <v>1E-4</v>
      </c>
      <c r="D42" s="107">
        <f t="shared" ref="D42:H42" si="2">+D41-D40</f>
        <v>1.05E-4</v>
      </c>
      <c r="E42" s="107">
        <f t="shared" si="2"/>
        <v>1.1E-4</v>
      </c>
      <c r="F42" s="107">
        <f t="shared" si="2"/>
        <v>1.1E-4</v>
      </c>
      <c r="G42" s="107">
        <f t="shared" si="2"/>
        <v>1E-4</v>
      </c>
      <c r="H42" s="108">
        <f t="shared" si="2"/>
        <v>1E-4</v>
      </c>
      <c r="I42" s="23"/>
      <c r="J42" s="23"/>
    </row>
    <row r="43" spans="1:10" ht="31.5" customHeight="1" thickBot="1" x14ac:dyDescent="0.3">
      <c r="A43" s="23"/>
      <c r="B43" s="59" t="s">
        <v>75</v>
      </c>
      <c r="C43" s="109">
        <f>+AVERAGE(C42:H42)</f>
        <v>1.0416666666666669E-4</v>
      </c>
      <c r="D43" s="23"/>
      <c r="E43" s="23"/>
      <c r="F43" s="23"/>
      <c r="G43" s="23"/>
      <c r="H43" s="23"/>
      <c r="I43" s="23"/>
      <c r="J43" s="23"/>
    </row>
    <row r="44" spans="1:10" ht="31.5" customHeight="1" thickBot="1" x14ac:dyDescent="0.3">
      <c r="A44" s="23"/>
      <c r="B44" s="60" t="s">
        <v>76</v>
      </c>
      <c r="C44" s="61">
        <f>+STDEV(C42:H42)</f>
        <v>4.9159604012508749E-6</v>
      </c>
      <c r="D44" s="23"/>
      <c r="E44" s="23"/>
      <c r="F44" s="23"/>
      <c r="G44" s="23"/>
      <c r="H44" s="23"/>
      <c r="I44" s="23"/>
      <c r="J44" s="23"/>
    </row>
    <row r="45" spans="1:10" s="91" customFormat="1" ht="15" customHeight="1" x14ac:dyDescent="0.25">
      <c r="A45" s="23"/>
      <c r="B45" s="23"/>
      <c r="C45" s="23"/>
      <c r="D45" s="23"/>
      <c r="E45" s="23"/>
      <c r="F45" s="23"/>
      <c r="G45" s="62"/>
      <c r="H45" s="23"/>
      <c r="I45" s="23"/>
      <c r="J45" s="23"/>
    </row>
    <row r="46" spans="1:10" ht="31.5" customHeight="1" thickBot="1" x14ac:dyDescent="0.3">
      <c r="A46" s="439" t="s">
        <v>77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31.5" customHeight="1" thickBot="1" x14ac:dyDescent="0.3">
      <c r="A47" s="23"/>
      <c r="B47" s="415" t="s">
        <v>78</v>
      </c>
      <c r="C47" s="416"/>
      <c r="D47" s="63" t="s">
        <v>79</v>
      </c>
      <c r="E47" s="23"/>
      <c r="F47" s="23"/>
      <c r="G47" s="23"/>
      <c r="H47" s="62"/>
      <c r="I47" s="23"/>
      <c r="J47" s="23"/>
    </row>
    <row r="48" spans="1:10" ht="31.5" customHeight="1" x14ac:dyDescent="0.25">
      <c r="A48" s="23"/>
      <c r="B48" s="392" t="s">
        <v>64</v>
      </c>
      <c r="C48" s="393"/>
      <c r="D48" s="136">
        <f>+AVERAGE(E33,E24)</f>
        <v>20.399999999999999</v>
      </c>
      <c r="E48" s="23"/>
      <c r="F48" s="413" t="s">
        <v>80</v>
      </c>
      <c r="G48" s="414"/>
      <c r="H48" s="110">
        <f>+(0.34848*D50-0.009024*D49*EXP(0.0612*D48))/(273.15+D48)</f>
        <v>0.88276895070492456</v>
      </c>
      <c r="I48" s="64" t="s">
        <v>81</v>
      </c>
      <c r="J48" s="23"/>
    </row>
    <row r="49" spans="1:10" ht="31.5" customHeight="1" thickBot="1" x14ac:dyDescent="0.3">
      <c r="A49" s="23"/>
      <c r="B49" s="392" t="s">
        <v>65</v>
      </c>
      <c r="C49" s="393"/>
      <c r="D49" s="136">
        <f>+AVERAGE(H33,H24)</f>
        <v>51.3</v>
      </c>
      <c r="E49" s="23"/>
      <c r="F49" s="452" t="s">
        <v>82</v>
      </c>
      <c r="G49" s="453"/>
      <c r="H49" s="111">
        <f>+H48*((0.001)^2+(0.0001*I20/2)^2+(-0.0034*D20/2)^2+(-0.1*G20/2)^2)^0.5</f>
        <v>7.5041153680902223E-2</v>
      </c>
      <c r="I49" s="66" t="s">
        <v>81</v>
      </c>
      <c r="J49" s="23"/>
    </row>
    <row r="50" spans="1:10" ht="31.5" customHeight="1" thickBot="1" x14ac:dyDescent="0.3">
      <c r="A50" s="23"/>
      <c r="B50" s="404" t="s">
        <v>23</v>
      </c>
      <c r="C50" s="405"/>
      <c r="D50" s="67">
        <f>+AVERAGE(J33,J24)</f>
        <v>748.25</v>
      </c>
      <c r="E50" s="23"/>
      <c r="F50" s="413" t="s">
        <v>83</v>
      </c>
      <c r="G50" s="414"/>
      <c r="H50" s="65">
        <v>1.2</v>
      </c>
      <c r="I50" s="66" t="s">
        <v>81</v>
      </c>
      <c r="J50" s="23"/>
    </row>
    <row r="51" spans="1:10" s="91" customFormat="1" ht="15" customHeight="1" thickBot="1" x14ac:dyDescent="0.3">
      <c r="A51" s="23"/>
      <c r="B51" s="86"/>
      <c r="C51" s="86"/>
      <c r="D51" s="86"/>
      <c r="E51" s="86"/>
      <c r="F51" s="86"/>
      <c r="G51" s="86"/>
      <c r="H51" s="86"/>
      <c r="I51" s="86"/>
      <c r="J51" s="23"/>
    </row>
    <row r="52" spans="1:10" ht="31.5" customHeight="1" x14ac:dyDescent="0.25">
      <c r="A52" s="439" t="s">
        <v>84</v>
      </c>
      <c r="B52" s="439"/>
      <c r="C52" s="439"/>
      <c r="D52" s="439"/>
      <c r="E52" s="439"/>
      <c r="F52" s="439"/>
      <c r="G52" s="439"/>
      <c r="H52" s="439"/>
      <c r="I52" s="439"/>
      <c r="J52" s="439"/>
    </row>
    <row r="53" spans="1:10" ht="31.5" customHeight="1" x14ac:dyDescent="0.3">
      <c r="A53" s="23"/>
      <c r="B53" s="125" t="s">
        <v>85</v>
      </c>
      <c r="C53" s="69"/>
      <c r="D53" s="445" t="s">
        <v>86</v>
      </c>
      <c r="E53" s="445"/>
      <c r="F53" s="68" t="s">
        <v>87</v>
      </c>
      <c r="G53" s="70" t="s">
        <v>88</v>
      </c>
      <c r="H53" s="446" t="s">
        <v>89</v>
      </c>
      <c r="I53" s="447"/>
      <c r="J53" s="23"/>
    </row>
    <row r="54" spans="1:10" ht="31.5" customHeight="1" thickBot="1" x14ac:dyDescent="0.3">
      <c r="A54" s="23"/>
      <c r="B54" s="126">
        <f>+C43</f>
        <v>1.0416666666666669E-4</v>
      </c>
      <c r="C54" s="127" t="s">
        <v>1</v>
      </c>
      <c r="D54" s="121">
        <f>+C11+C12/1000</f>
        <v>50.000030000000002</v>
      </c>
      <c r="E54" s="127" t="s">
        <v>1</v>
      </c>
      <c r="F54" s="121">
        <f>+(H48-H50)*(1/H11-1/C14)</f>
        <v>-2.4939547900555961E-7</v>
      </c>
      <c r="G54" s="128"/>
      <c r="H54" s="65">
        <f>+(B54+D54*F54)*1000</f>
        <v>9.1696885234524336E-2</v>
      </c>
      <c r="I54" s="66" t="s">
        <v>3</v>
      </c>
      <c r="J54" s="23"/>
    </row>
    <row r="55" spans="1:10" s="91" customFormat="1" ht="1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31.5" customHeight="1" x14ac:dyDescent="0.25">
      <c r="A56" s="440" t="s">
        <v>90</v>
      </c>
      <c r="B56" s="431"/>
      <c r="C56" s="431"/>
      <c r="D56" s="431"/>
      <c r="E56" s="431"/>
      <c r="F56" s="431"/>
      <c r="G56" s="431"/>
      <c r="H56" s="431"/>
      <c r="I56" s="431"/>
      <c r="J56" s="431"/>
    </row>
    <row r="57" spans="1:10" s="91" customFormat="1" ht="15" customHeight="1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31.5" customHeight="1" x14ac:dyDescent="0.25">
      <c r="A58" s="448" t="s">
        <v>78</v>
      </c>
      <c r="B58" s="449"/>
      <c r="C58" s="450" t="s">
        <v>91</v>
      </c>
      <c r="D58" s="451"/>
      <c r="E58" s="71"/>
      <c r="F58" s="23"/>
      <c r="G58" s="23"/>
      <c r="H58" s="23"/>
      <c r="I58" s="23"/>
      <c r="J58" s="23"/>
    </row>
    <row r="59" spans="1:10" ht="31.5" customHeight="1" x14ac:dyDescent="0.25">
      <c r="A59" s="72" t="s">
        <v>92</v>
      </c>
      <c r="B59" s="73"/>
      <c r="C59" s="74">
        <f>+C44/B26^0.5*1000</f>
        <v>2.006932429798716E-3</v>
      </c>
      <c r="D59" s="94" t="s">
        <v>3</v>
      </c>
      <c r="E59" s="75"/>
      <c r="F59" s="75"/>
      <c r="G59" s="23"/>
      <c r="H59" s="23"/>
      <c r="I59" s="23"/>
      <c r="J59" s="23"/>
    </row>
    <row r="60" spans="1:10" ht="31.5" customHeight="1" x14ac:dyDescent="0.25">
      <c r="A60" s="76" t="s">
        <v>93</v>
      </c>
      <c r="B60" s="77" t="s">
        <v>94</v>
      </c>
      <c r="C60" s="78">
        <f>+C13/2</f>
        <v>1.4999999999999999E-2</v>
      </c>
      <c r="D60" s="95" t="s">
        <v>3</v>
      </c>
      <c r="E60" s="75"/>
      <c r="F60" s="75"/>
      <c r="G60" s="23"/>
      <c r="H60" s="23"/>
      <c r="I60" s="23"/>
      <c r="J60" s="23"/>
    </row>
    <row r="61" spans="1:10" ht="31.5" customHeight="1" x14ac:dyDescent="0.25">
      <c r="A61" s="79" t="s">
        <v>95</v>
      </c>
      <c r="B61" s="80"/>
      <c r="C61" s="81">
        <f>+C13/3^0.5</f>
        <v>1.7320508075688773E-2</v>
      </c>
      <c r="D61" s="95" t="s">
        <v>3</v>
      </c>
      <c r="E61" s="75"/>
      <c r="F61" s="75"/>
      <c r="G61" s="23"/>
      <c r="H61" s="23"/>
      <c r="I61" s="23"/>
      <c r="J61" s="23"/>
    </row>
    <row r="62" spans="1:10" ht="31.5" customHeight="1" x14ac:dyDescent="0.25">
      <c r="A62" s="82" t="s">
        <v>96</v>
      </c>
      <c r="B62" s="83"/>
      <c r="C62" s="84">
        <f>+SQRT(SUMSQ(C60:C61))</f>
        <v>2.2912878474779203E-2</v>
      </c>
      <c r="D62" s="94" t="s">
        <v>3</v>
      </c>
      <c r="E62" s="75"/>
      <c r="F62" s="75"/>
      <c r="G62" s="23"/>
      <c r="H62" s="23"/>
      <c r="I62" s="23"/>
      <c r="J62" s="23"/>
    </row>
    <row r="63" spans="1:10" ht="31.5" customHeight="1" x14ac:dyDescent="0.25">
      <c r="A63" s="76" t="s">
        <v>97</v>
      </c>
      <c r="B63" s="77"/>
      <c r="C63" s="81">
        <f>+H49</f>
        <v>7.5041153680902223E-2</v>
      </c>
      <c r="D63" s="95" t="s">
        <v>81</v>
      </c>
      <c r="E63" s="23"/>
      <c r="F63" s="23"/>
      <c r="G63" s="23"/>
      <c r="H63" s="23"/>
      <c r="I63" s="23"/>
      <c r="J63" s="23"/>
    </row>
    <row r="64" spans="1:10" ht="31.5" customHeight="1" x14ac:dyDescent="0.25">
      <c r="A64" s="76" t="s">
        <v>98</v>
      </c>
      <c r="B64" s="77"/>
      <c r="C64" s="85">
        <f>+H12/2</f>
        <v>70</v>
      </c>
      <c r="D64" s="95" t="s">
        <v>81</v>
      </c>
      <c r="E64" s="23"/>
      <c r="F64" s="23"/>
      <c r="G64" s="23"/>
      <c r="H64" s="23"/>
      <c r="I64" s="23"/>
      <c r="J64" s="23"/>
    </row>
    <row r="65" spans="1:10" ht="31.5" customHeight="1" thickBot="1" x14ac:dyDescent="0.3">
      <c r="A65" s="76" t="s">
        <v>99</v>
      </c>
      <c r="B65" s="77"/>
      <c r="C65" s="85">
        <f>+C15/2</f>
        <v>15</v>
      </c>
      <c r="D65" s="95" t="s">
        <v>81</v>
      </c>
      <c r="E65" s="23"/>
      <c r="F65" s="23"/>
      <c r="G65" s="23"/>
      <c r="H65" s="23"/>
      <c r="I65" s="23"/>
      <c r="J65" s="23"/>
    </row>
    <row r="66" spans="1:10" ht="31.5" customHeight="1" x14ac:dyDescent="0.25">
      <c r="A66" s="82" t="s">
        <v>100</v>
      </c>
      <c r="B66" s="83"/>
      <c r="C66" s="84">
        <f>+SQRT(ABS(((C11/1000+C12/1000000)*(C14-H11)/(C14*H11)*C63)^2+((C11/1000+C12/1000000)*(H48-H50))^2*C64^2/H11^4+(C11/1000+C12/1000000)^2*(H48-H50)*((H48-H50)-2*(C16-H50))*C65^2/C14^4))*1000000</f>
        <v>1.7441167183477931E-2</v>
      </c>
      <c r="D66" s="94" t="s">
        <v>3</v>
      </c>
      <c r="E66" s="75"/>
      <c r="F66" s="442" t="s">
        <v>101</v>
      </c>
      <c r="G66" s="443"/>
      <c r="H66" s="129">
        <f>+SQRT(SUMSQ(C59,C62,C66,C67))</f>
        <v>2.9152851612946413E-2</v>
      </c>
      <c r="I66" s="130" t="s">
        <v>3</v>
      </c>
      <c r="J66" s="23"/>
    </row>
    <row r="67" spans="1:10" ht="31.5" customHeight="1" thickBot="1" x14ac:dyDescent="0.3">
      <c r="A67" s="88" t="s">
        <v>102</v>
      </c>
      <c r="B67" s="89"/>
      <c r="C67" s="112">
        <f>+(H16/2/3^0.5)*2^0.5*1000</f>
        <v>4.0824829046386306E-3</v>
      </c>
      <c r="D67" s="66" t="s">
        <v>3</v>
      </c>
      <c r="E67" s="75"/>
      <c r="F67" s="407" t="s">
        <v>103</v>
      </c>
      <c r="G67" s="444"/>
      <c r="H67" s="65">
        <f>+H66*2</f>
        <v>5.8305703225892826E-2</v>
      </c>
      <c r="I67" s="66" t="s">
        <v>3</v>
      </c>
      <c r="J67" s="23"/>
    </row>
    <row r="68" spans="1:10" s="91" customFormat="1" ht="15" customHeight="1" x14ac:dyDescent="0.25">
      <c r="A68" s="90"/>
      <c r="B68" s="90"/>
      <c r="C68" s="90"/>
      <c r="D68" s="90"/>
      <c r="E68" s="23"/>
      <c r="F68" s="90"/>
      <c r="G68" s="90"/>
      <c r="H68" s="90"/>
      <c r="I68" s="90"/>
      <c r="J68" s="23"/>
    </row>
    <row r="69" spans="1:10" ht="31.5" customHeight="1" thickBot="1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31.5" customHeight="1" thickBot="1" x14ac:dyDescent="0.3">
      <c r="A70" s="417" t="s">
        <v>104</v>
      </c>
      <c r="B70" s="418"/>
      <c r="C70" s="418"/>
      <c r="D70" s="418"/>
      <c r="E70" s="418"/>
      <c r="F70" s="418"/>
      <c r="G70" s="418"/>
      <c r="H70" s="418"/>
      <c r="I70" s="418"/>
      <c r="J70" s="419"/>
    </row>
    <row r="71" spans="1:10" ht="31.5" customHeight="1" thickBot="1" x14ac:dyDescent="0.3">
      <c r="A71" s="428" t="s">
        <v>105</v>
      </c>
      <c r="B71" s="429"/>
      <c r="C71" s="429"/>
      <c r="D71" s="430"/>
      <c r="E71" s="122"/>
      <c r="F71" s="123"/>
      <c r="G71" s="431"/>
      <c r="H71" s="431"/>
      <c r="I71" s="431"/>
      <c r="J71" s="432"/>
    </row>
    <row r="72" spans="1:10" ht="31.5" customHeight="1" x14ac:dyDescent="0.25">
      <c r="A72" s="113" t="s">
        <v>118</v>
      </c>
      <c r="B72" s="114" t="s">
        <v>119</v>
      </c>
      <c r="C72" s="115"/>
      <c r="D72" s="116" t="s">
        <v>120</v>
      </c>
      <c r="E72" s="433" t="s">
        <v>121</v>
      </c>
      <c r="F72" s="434"/>
      <c r="G72" s="117" t="s">
        <v>122</v>
      </c>
      <c r="H72" s="435" t="s">
        <v>123</v>
      </c>
      <c r="I72" s="437" t="s">
        <v>106</v>
      </c>
      <c r="J72" s="438"/>
    </row>
    <row r="73" spans="1:10" ht="31.5" customHeight="1" thickBot="1" x14ac:dyDescent="0.3">
      <c r="A73" s="118">
        <f>C11</f>
        <v>50</v>
      </c>
      <c r="B73" s="119">
        <f>C12</f>
        <v>0.03</v>
      </c>
      <c r="C73" s="120">
        <f>H54</f>
        <v>9.1696885234524336E-2</v>
      </c>
      <c r="D73" s="121">
        <f>A73+B73/1000+C73/1000</f>
        <v>50.000121696885238</v>
      </c>
      <c r="E73" s="107">
        <f>A73*1000-D73*1000</f>
        <v>-0.12169688523863442</v>
      </c>
      <c r="F73" s="107" t="s">
        <v>3</v>
      </c>
      <c r="G73" s="92">
        <f>D73+E73/1000</f>
        <v>50</v>
      </c>
      <c r="H73" s="436"/>
      <c r="I73" s="99">
        <f>H67</f>
        <v>5.8305703225892826E-2</v>
      </c>
      <c r="J73" s="93" t="s">
        <v>3</v>
      </c>
    </row>
    <row r="75" spans="1:10" ht="51" customHeight="1" x14ac:dyDescent="0.25"/>
    <row r="77" spans="1:10" ht="31.5" customHeight="1" x14ac:dyDescent="0.25">
      <c r="A77" s="3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31.5" customHeight="1" x14ac:dyDescent="0.25">
      <c r="A78" s="3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31.5" customHeight="1" x14ac:dyDescent="0.25">
      <c r="A79" s="3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31.5" customHeight="1" x14ac:dyDescent="0.25">
      <c r="A80" s="3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31.5" customHeight="1" x14ac:dyDescent="0.25">
      <c r="A81" s="3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31.5" customHeight="1" x14ac:dyDescent="0.25">
      <c r="A82" s="3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1.5" customHeight="1" x14ac:dyDescent="0.25">
      <c r="A83" s="39"/>
      <c r="B83" s="23"/>
      <c r="C83" s="23"/>
      <c r="D83" s="23"/>
      <c r="E83" s="23"/>
      <c r="F83" s="23"/>
      <c r="G83" s="23"/>
      <c r="H83" s="23"/>
      <c r="I83" s="23"/>
      <c r="J83" s="23"/>
    </row>
  </sheetData>
  <mergeCells count="52">
    <mergeCell ref="F10:G10"/>
    <mergeCell ref="A1:B1"/>
    <mergeCell ref="C1:J1"/>
    <mergeCell ref="A2:J2"/>
    <mergeCell ref="A7:D7"/>
    <mergeCell ref="F7:I7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B48:C48"/>
    <mergeCell ref="F48:G48"/>
    <mergeCell ref="B49:C49"/>
    <mergeCell ref="F49:G49"/>
    <mergeCell ref="B50:C50"/>
    <mergeCell ref="F50:G50"/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</mergeCells>
  <pageMargins left="0.7" right="0.7" top="0.75" bottom="0.75" header="0.3" footer="0.3"/>
  <pageSetup scale="7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</vt:i4>
      </vt:variant>
    </vt:vector>
  </HeadingPairs>
  <TitlesOfParts>
    <vt:vector size="22" baseType="lpstr">
      <vt:lpstr>DATOS PESAS PATRON</vt:lpstr>
      <vt:lpstr>1 g</vt:lpstr>
      <vt:lpstr>2 g</vt:lpstr>
      <vt:lpstr>2+ g</vt:lpstr>
      <vt:lpstr>5 g</vt:lpstr>
      <vt:lpstr>10 g</vt:lpstr>
      <vt:lpstr>20 g</vt:lpstr>
      <vt:lpstr>20+ g</vt:lpstr>
      <vt:lpstr>50 g</vt:lpstr>
      <vt:lpstr>100 g</vt:lpstr>
      <vt:lpstr>200 g</vt:lpstr>
      <vt:lpstr>200+ g</vt:lpstr>
      <vt:lpstr>500 g</vt:lpstr>
      <vt:lpstr>1 kg</vt:lpstr>
      <vt:lpstr>2 kg</vt:lpstr>
      <vt:lpstr>2+ kg</vt:lpstr>
      <vt:lpstr>VERIFICACION DE PESAS</vt:lpstr>
      <vt:lpstr>INFORME</vt:lpstr>
      <vt:lpstr>'1 g'!Área_de_impresión</vt:lpstr>
      <vt:lpstr>'VERIFICACION DE PESAS'!Área_de_impresión</vt:lpstr>
      <vt:lpstr>'1 g'!Títulos_a_imprimir</vt:lpstr>
      <vt:lpstr>'VERIFICACION DE PESAS'!Títulos_a_imprimir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Diana Alexandra Zambrano Rocha</cp:lastModifiedBy>
  <cp:lastPrinted>2017-05-17T20:47:44Z</cp:lastPrinted>
  <dcterms:created xsi:type="dcterms:W3CDTF">2016-03-15T18:31:08Z</dcterms:created>
  <dcterms:modified xsi:type="dcterms:W3CDTF">2017-05-17T20:47:53Z</dcterms:modified>
</cp:coreProperties>
</file>